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6"/>
  <workbookPr/>
  <mc:AlternateContent xmlns:mc="http://schemas.openxmlformats.org/markup-compatibility/2006">
    <mc:Choice Requires="x15">
      <x15ac:absPath xmlns:x15ac="http://schemas.microsoft.com/office/spreadsheetml/2010/11/ac" url="https://cadgs-my.sharepoint.com/personal/brian_allen_dgs_ca_gov/Documents/Desktop/Pending OSP Exemptions/"/>
    </mc:Choice>
  </mc:AlternateContent>
  <xr:revisionPtr revIDLastSave="273" documentId="8_{EF391049-8F4D-4218-9C3E-4865441FA2F0}" xr6:coauthVersionLast="47" xr6:coauthVersionMax="47" xr10:uidLastSave="{BDD5EFCF-BD1D-4748-82BD-8607C28EC43F}"/>
  <bookViews>
    <workbookView xWindow="-120" yWindow="-120" windowWidth="29040" windowHeight="15720" tabRatio="651" firstSheet="6" activeTab="6" xr2:uid="{E3F31DB5-602B-49BB-AE50-88D207C92501}"/>
  </bookViews>
  <sheets>
    <sheet name="Executive Summary" sheetId="15" r:id="rId1"/>
    <sheet name="Data Summary" sheetId="1" r:id="rId2"/>
    <sheet name="Current Equipment (Replacing)" sheetId="2" r:id="rId3"/>
    <sheet name="Proposed Equipment" sheetId="3" r:id="rId4"/>
    <sheet name="Cost Avoidance-Revenue" sheetId="9" r:id="rId5"/>
    <sheet name="Labor Costs" sheetId="10" r:id="rId6"/>
    <sheet name="Additional Expenditures" sheetId="14" r:id="rId7"/>
    <sheet name="Sheet1" sheetId="11" state="hidden" r:id="rId8"/>
  </sheets>
  <externalReferences>
    <externalReference r:id="rId9"/>
    <externalReference r:id="rId10"/>
  </externalReferences>
  <definedNames>
    <definedName name="_xlnm._FilterDatabase" localSheetId="7" hidden="1">Sheet1!$D$1:$E$37</definedName>
    <definedName name="CBID" hidden="1">{#N/A,#N/A,FALSE,"Exec";#N/A,#N/A,FALSE,"DCS";#N/A,#N/A,FALSE,"ENT";#N/A,#N/A,FALSE,"NET";#N/A,#N/A,FALSE,"Admin";#N/A,#N/A,FALSE,"CR"}</definedName>
    <definedName name="cbiderr" hidden="1">{#N/A,#N/A,FALSE,"Exec";#N/A,#N/A,FALSE,"DCS";#N/A,#N/A,FALSE,"ENT";#N/A,#N/A,FALSE,"NET";#N/A,#N/A,FALSE,"Admin";#N/A,#N/A,FALSE,"CR"}</definedName>
    <definedName name="jul99rosterfile" hidden="1">{#N/A,#N/A,FALSE,"SO98RDEP";#N/A,#N/A,FALSE,"SO98REXE";#N/A,#N/A,FALSE,"SO98RDCS";#N/A,#N/A,FALSE,"SO98RENT";#N/A,#N/A,FALSE,"SO98RLAR";#N/A,#N/A,FALSE,"SO98RNET";#N/A,#N/A,FALSE,"SO98RADM";#N/A,#N/A,FALSE,"SO98RCRM";#N/A,#N/A,FALSE,"SO98RPOL"}</definedName>
    <definedName name="julerr" hidden="1">{#N/A,#N/A,FALSE,"SO98RDEP";#N/A,#N/A,FALSE,"SO98REXE";#N/A,#N/A,FALSE,"SO98RDCS";#N/A,#N/A,FALSE,"SO98RENT";#N/A,#N/A,FALSE,"SO98RLAR";#N/A,#N/A,FALSE,"SO98RNET";#N/A,#N/A,FALSE,"SO98RADM";#N/A,#N/A,FALSE,"SO98RCRM";#N/A,#N/A,FALSE,"SO98RPOL"}</definedName>
    <definedName name="ListR">#REF!</definedName>
    <definedName name="PlantLK">[1]Lookup!$A$1:$B$6</definedName>
    <definedName name="_xlnm.Print_Area" localSheetId="1">'Data Summary'!$A$1:$J$35</definedName>
    <definedName name="_xlnm.Print_Area" localSheetId="5">'Labor Costs'!$D$4:$K$38</definedName>
    <definedName name="Recover">[2]Macro1!$A$49</definedName>
    <definedName name="TableName">"Dummy"</definedName>
    <definedName name="wrn.Schedule._.8." hidden="1">{#N/A,#N/A,FALSE,"Exec";#N/A,#N/A,FALSE,"DCS";#N/A,#N/A,FALSE,"ENT";#N/A,#N/A,FALSE,"NET";#N/A,#N/A,FALSE,"Admin";#N/A,#N/A,FALSE,"CR"}</definedName>
    <definedName name="wrnerr" hidden="1">{#N/A,#N/A,FALSE,"Exec";#N/A,#N/A,FALSE,"DCS";#N/A,#N/A,FALSE,"ENT";#N/A,#N/A,FALSE,"NET";#N/A,#N/A,FALSE,"Admin";#N/A,#N/A,FALSE,"CR"}</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2" i="11" l="1"/>
  <c r="B23" i="11"/>
  <c r="B24" i="11"/>
  <c r="B25" i="11"/>
  <c r="B26" i="11"/>
  <c r="F58" i="9" a="1"/>
  <c r="F58" i="9"/>
  <c r="F11" i="9" a="1"/>
  <c r="F11" i="9"/>
  <c r="I11" i="2" a="1"/>
  <c r="I11" i="2"/>
  <c r="D9" i="15" a="1"/>
  <c r="D9" i="15"/>
  <c r="A8" i="14" a="1"/>
  <c r="A8" i="14"/>
  <c r="A9" i="14" a="1"/>
  <c r="A9" i="14"/>
  <c r="E3" i="11"/>
  <c r="Q9" i="3" a="1"/>
  <c r="Q9" i="3"/>
  <c r="Q10" i="3" a="1"/>
  <c r="Q10" i="3"/>
  <c r="Q11" i="3" a="1"/>
  <c r="Q11" i="3"/>
  <c r="Q12" i="3" a="1"/>
  <c r="Q12" i="3"/>
  <c r="Q8" i="3" a="1"/>
  <c r="Q8" i="3"/>
  <c r="P9" i="3"/>
  <c r="R9" i="3" s="1" a="1"/>
  <c r="R9" i="3" s="1"/>
  <c r="P10" i="3"/>
  <c r="R10" i="3" s="1" a="1"/>
  <c r="R10" i="3" s="1"/>
  <c r="P11" i="3"/>
  <c r="R11" i="3" s="1" a="1"/>
  <c r="R11" i="3" s="1"/>
  <c r="P12" i="3"/>
  <c r="R12" i="3" s="1" a="1"/>
  <c r="R12" i="3" s="1"/>
  <c r="P8" i="3"/>
  <c r="R8" i="3" s="1" a="1"/>
  <c r="R8" i="3" s="1"/>
  <c r="D7" i="14" s="1"/>
  <c r="D10" i="15" a="1"/>
  <c r="D10" i="15"/>
  <c r="F17" i="1"/>
  <c r="F18" i="1"/>
  <c r="F19" i="1"/>
  <c r="F20" i="1"/>
  <c r="F16" i="1"/>
  <c r="D17" i="1"/>
  <c r="D18" i="1"/>
  <c r="D19" i="1"/>
  <c r="D20" i="1"/>
  <c r="D16" i="1"/>
  <c r="E8" i="1" a="1"/>
  <c r="E8" i="1" s="1"/>
  <c r="E9" i="1" a="1"/>
  <c r="E9" i="1" s="1"/>
  <c r="E10" i="1" a="1"/>
  <c r="E10" i="1" s="1"/>
  <c r="E11" i="1" a="1"/>
  <c r="E11" i="1" s="1"/>
  <c r="K110" i="9"/>
  <c r="K103" i="9"/>
  <c r="K104" i="9"/>
  <c r="K105" i="9"/>
  <c r="K106" i="9"/>
  <c r="K107" i="9"/>
  <c r="K108" i="9"/>
  <c r="K109" i="9"/>
  <c r="K102" i="9"/>
  <c r="K101" i="9"/>
  <c r="K98" i="9"/>
  <c r="K61" i="9"/>
  <c r="K62" i="9"/>
  <c r="K63" i="9"/>
  <c r="K64" i="9"/>
  <c r="K65" i="9"/>
  <c r="K66" i="9"/>
  <c r="K67" i="9"/>
  <c r="K68" i="9"/>
  <c r="K69" i="9"/>
  <c r="K70" i="9"/>
  <c r="K71" i="9"/>
  <c r="K72" i="9"/>
  <c r="K73" i="9"/>
  <c r="K74" i="9"/>
  <c r="K75" i="9"/>
  <c r="K76" i="9"/>
  <c r="K77" i="9"/>
  <c r="K78" i="9"/>
  <c r="K79" i="9"/>
  <c r="K80" i="9"/>
  <c r="K81" i="9"/>
  <c r="K82" i="9"/>
  <c r="K83" i="9"/>
  <c r="K84" i="9"/>
  <c r="K85" i="9"/>
  <c r="K86" i="9"/>
  <c r="K87" i="9"/>
  <c r="K88" i="9"/>
  <c r="K89" i="9"/>
  <c r="K90" i="9"/>
  <c r="K91" i="9"/>
  <c r="K92" i="9"/>
  <c r="K93" i="9"/>
  <c r="K94" i="9"/>
  <c r="K95" i="9"/>
  <c r="K96" i="9"/>
  <c r="K97" i="9"/>
  <c r="K60" i="9"/>
  <c r="D33" i="14" l="1"/>
  <c r="E5" i="11"/>
  <c r="E6" i="11"/>
  <c r="E14" i="11"/>
  <c r="E18" i="11"/>
  <c r="E20" i="11"/>
  <c r="E23" i="11"/>
  <c r="E24" i="11"/>
  <c r="E27" i="11"/>
  <c r="E30" i="11"/>
  <c r="E31" i="11"/>
  <c r="E4" i="11"/>
  <c r="E35" i="11"/>
  <c r="E25" i="11"/>
  <c r="E26" i="11"/>
  <c r="E34" i="11"/>
  <c r="E37" i="11"/>
  <c r="E2" i="11"/>
  <c r="F36" i="11"/>
  <c r="E36" i="11" s="1"/>
  <c r="F33" i="11"/>
  <c r="E33" i="11" s="1"/>
  <c r="F32" i="11"/>
  <c r="E32" i="11" s="1"/>
  <c r="F29" i="11"/>
  <c r="E29" i="11" s="1"/>
  <c r="F28" i="11"/>
  <c r="E28" i="11" s="1"/>
  <c r="F22" i="11"/>
  <c r="E22" i="11" s="1"/>
  <c r="F21" i="11"/>
  <c r="E21" i="11" s="1"/>
  <c r="F19" i="11"/>
  <c r="E19" i="11" s="1"/>
  <c r="F16" i="11"/>
  <c r="E16" i="11" s="1"/>
  <c r="F17" i="11"/>
  <c r="E17" i="11" s="1"/>
  <c r="F15" i="11"/>
  <c r="E15" i="11" s="1"/>
  <c r="F13" i="11"/>
  <c r="E13" i="11" s="1"/>
  <c r="F12" i="11"/>
  <c r="E12" i="11" s="1"/>
  <c r="F11" i="11"/>
  <c r="E11" i="11" s="1"/>
  <c r="F10" i="11"/>
  <c r="E10" i="11" s="1"/>
  <c r="F9" i="11"/>
  <c r="E9" i="11" s="1"/>
  <c r="F8" i="11"/>
  <c r="E8" i="11" s="1"/>
  <c r="F7" i="11"/>
  <c r="E7" i="11" s="1"/>
  <c r="B5" i="11"/>
  <c r="B6" i="11"/>
  <c r="B7" i="11"/>
  <c r="B8" i="11"/>
  <c r="B9" i="11"/>
  <c r="B10" i="11"/>
  <c r="B11" i="11"/>
  <c r="B12" i="11"/>
  <c r="B13" i="11"/>
  <c r="B14" i="11"/>
  <c r="B15" i="11"/>
  <c r="B16" i="11"/>
  <c r="B17" i="11"/>
  <c r="B18" i="11"/>
  <c r="B19" i="11"/>
  <c r="B20" i="11"/>
  <c r="B21" i="11"/>
  <c r="B27" i="11"/>
  <c r="B28" i="11"/>
  <c r="B29" i="11"/>
  <c r="B30" i="11"/>
  <c r="B31" i="11"/>
  <c r="B32" i="11"/>
  <c r="B33" i="11"/>
  <c r="B34" i="11"/>
  <c r="B35" i="11"/>
  <c r="B36" i="11"/>
  <c r="B37" i="11"/>
  <c r="B38" i="11"/>
  <c r="B39" i="11"/>
  <c r="B40" i="11"/>
  <c r="B41" i="11"/>
  <c r="B4" i="11"/>
  <c r="B3" i="11"/>
  <c r="B2" i="11"/>
  <c r="G64" i="9"/>
  <c r="H64" i="9" s="1"/>
  <c r="J64" i="9" s="1"/>
  <c r="G65" i="9"/>
  <c r="H65" i="9" s="1"/>
  <c r="J65" i="9" s="1"/>
  <c r="G66" i="9"/>
  <c r="H66" i="9" s="1"/>
  <c r="J66" i="9" s="1"/>
  <c r="G67" i="9"/>
  <c r="H67" i="9"/>
  <c r="J67" i="9" s="1"/>
  <c r="K20" i="9"/>
  <c r="G22" i="9"/>
  <c r="G23" i="9"/>
  <c r="G24" i="9"/>
  <c r="G25" i="9"/>
  <c r="G26" i="9"/>
  <c r="G27" i="9"/>
  <c r="G28" i="9"/>
  <c r="G29" i="9"/>
  <c r="G30" i="9"/>
  <c r="G31" i="9"/>
  <c r="G17" i="9"/>
  <c r="G18" i="9"/>
  <c r="G19" i="9"/>
  <c r="G20" i="9"/>
  <c r="K17" i="9"/>
  <c r="K18" i="9"/>
  <c r="K19" i="9"/>
  <c r="K24" i="9"/>
  <c r="K26" i="9"/>
  <c r="K27" i="9"/>
  <c r="K28" i="9"/>
  <c r="K29" i="9"/>
  <c r="K30" i="9"/>
  <c r="H19" i="10" l="1"/>
  <c r="H20" i="10"/>
  <c r="H21" i="10"/>
  <c r="H22" i="10"/>
  <c r="H23" i="10"/>
  <c r="H24" i="10"/>
  <c r="H25" i="10"/>
  <c r="H26" i="10"/>
  <c r="H27" i="10"/>
  <c r="H28" i="10"/>
  <c r="H29" i="10"/>
  <c r="H30" i="10"/>
  <c r="H31" i="10"/>
  <c r="H32" i="10"/>
  <c r="H33" i="10"/>
  <c r="H34" i="10"/>
  <c r="H35" i="10"/>
  <c r="H36" i="10"/>
  <c r="H44" i="10"/>
  <c r="H45" i="10"/>
  <c r="H46" i="10"/>
  <c r="H47" i="10"/>
  <c r="H48" i="10"/>
  <c r="H49" i="10"/>
  <c r="H50" i="10"/>
  <c r="H51" i="10"/>
  <c r="H52" i="10"/>
  <c r="H53" i="10"/>
  <c r="H54" i="10"/>
  <c r="H55" i="10"/>
  <c r="H56" i="10"/>
  <c r="H57" i="10"/>
  <c r="H58" i="10"/>
  <c r="H59" i="10"/>
  <c r="H60" i="10"/>
  <c r="H61" i="10"/>
  <c r="H62" i="10"/>
  <c r="H63" i="10"/>
  <c r="B19" i="2" a="1"/>
  <c r="B19" i="2" s="1"/>
  <c r="L20" i="2" a="1"/>
  <c r="L20" i="2" s="1"/>
  <c r="J20" i="2" a="1"/>
  <c r="J20" i="2" s="1"/>
  <c r="I20" i="2" a="1"/>
  <c r="I20" i="2" s="1"/>
  <c r="A22" i="2"/>
  <c r="A23" i="2"/>
  <c r="A24" i="2"/>
  <c r="A25" i="2"/>
  <c r="A21" i="2"/>
  <c r="C23" i="14"/>
  <c r="G18" i="10"/>
  <c r="H18" i="10" s="1"/>
  <c r="I21" i="2"/>
  <c r="G19" i="10"/>
  <c r="J19" i="10" s="1"/>
  <c r="E15" i="1" a="1"/>
  <c r="E15" i="1" s="1"/>
  <c r="E6" i="1" a="1"/>
  <c r="E6" i="1" s="1"/>
  <c r="G24" i="1" a="1"/>
  <c r="G24" i="1" s="1"/>
  <c r="H24" i="1" a="1"/>
  <c r="H24" i="1" s="1"/>
  <c r="J24" i="1" a="1"/>
  <c r="J24" i="1" s="1"/>
  <c r="I17" i="1"/>
  <c r="I18" i="1"/>
  <c r="I19" i="1"/>
  <c r="I20" i="1"/>
  <c r="I16" i="1"/>
  <c r="G17" i="1"/>
  <c r="G18" i="1"/>
  <c r="G19" i="1"/>
  <c r="G20" i="1"/>
  <c r="C18" i="1"/>
  <c r="C19" i="1"/>
  <c r="C20" i="1"/>
  <c r="E17" i="1" a="1"/>
  <c r="E17" i="1" s="1"/>
  <c r="E18" i="1" a="1"/>
  <c r="E18" i="1" s="1"/>
  <c r="E19" i="1" a="1"/>
  <c r="E19" i="1" s="1"/>
  <c r="E20" i="1" a="1"/>
  <c r="E20" i="1" s="1"/>
  <c r="B17" i="1"/>
  <c r="B18" i="1"/>
  <c r="B19" i="1"/>
  <c r="B20" i="1"/>
  <c r="B16" i="1"/>
  <c r="H8" i="1"/>
  <c r="H9" i="1"/>
  <c r="H10" i="1"/>
  <c r="H11" i="1"/>
  <c r="H7" i="1"/>
  <c r="G8" i="1"/>
  <c r="G9" i="1"/>
  <c r="G10" i="1"/>
  <c r="G11" i="1"/>
  <c r="G7" i="1"/>
  <c r="A115" i="9" a="1"/>
  <c r="A115" i="9" s="1"/>
  <c r="A55" i="9" a="1"/>
  <c r="A55" i="9" s="1"/>
  <c r="K13" i="9"/>
  <c r="K14" i="9"/>
  <c r="K15" i="9"/>
  <c r="K16" i="9"/>
  <c r="K21" i="9"/>
  <c r="K22" i="9"/>
  <c r="K23" i="9"/>
  <c r="K25" i="9"/>
  <c r="K31" i="9"/>
  <c r="K32" i="9"/>
  <c r="K33" i="9"/>
  <c r="K34" i="9"/>
  <c r="K35" i="9"/>
  <c r="K36" i="9"/>
  <c r="K37" i="9"/>
  <c r="K38" i="9"/>
  <c r="K39" i="9"/>
  <c r="K40" i="9"/>
  <c r="K41" i="9"/>
  <c r="K42" i="9"/>
  <c r="K43" i="9"/>
  <c r="K44" i="9"/>
  <c r="K45" i="9"/>
  <c r="K46" i="9"/>
  <c r="K47" i="9"/>
  <c r="K48" i="9"/>
  <c r="K49" i="9"/>
  <c r="K50" i="9"/>
  <c r="K51" i="9"/>
  <c r="D59" i="14"/>
  <c r="E59" i="14"/>
  <c r="F59" i="14"/>
  <c r="D60" i="14"/>
  <c r="E60" i="14"/>
  <c r="F60" i="14"/>
  <c r="D61" i="14"/>
  <c r="E61" i="14"/>
  <c r="F61" i="14"/>
  <c r="D62" i="14"/>
  <c r="E62" i="14"/>
  <c r="F62" i="14"/>
  <c r="C57" i="14"/>
  <c r="D57" i="14" s="1"/>
  <c r="F57" i="14"/>
  <c r="C58" i="14"/>
  <c r="E58" i="14" s="1"/>
  <c r="D58" i="14"/>
  <c r="C39" i="14"/>
  <c r="I59" i="10"/>
  <c r="J59" i="10"/>
  <c r="K59" i="10"/>
  <c r="I60" i="10"/>
  <c r="J60" i="10"/>
  <c r="K60" i="10"/>
  <c r="I61" i="10"/>
  <c r="J61" i="10"/>
  <c r="K61" i="10"/>
  <c r="I62" i="10"/>
  <c r="J62" i="10"/>
  <c r="K62" i="10"/>
  <c r="G58" i="10"/>
  <c r="I58" i="10" s="1"/>
  <c r="I32" i="10"/>
  <c r="J32" i="10"/>
  <c r="K32" i="10"/>
  <c r="I33" i="10"/>
  <c r="J33" i="10"/>
  <c r="K33" i="10"/>
  <c r="I34" i="10"/>
  <c r="J34" i="10"/>
  <c r="K34" i="10"/>
  <c r="I35" i="10"/>
  <c r="J35" i="10"/>
  <c r="K35" i="10"/>
  <c r="G20" i="10"/>
  <c r="K20" i="10" s="1"/>
  <c r="G21" i="10"/>
  <c r="I21" i="10" s="1"/>
  <c r="G22" i="10"/>
  <c r="K22" i="10" s="1"/>
  <c r="G23" i="10"/>
  <c r="J23" i="10" s="1"/>
  <c r="K23" i="10"/>
  <c r="G24" i="10"/>
  <c r="I24" i="10" s="1"/>
  <c r="G25" i="10"/>
  <c r="I25" i="10" s="1"/>
  <c r="J25" i="10"/>
  <c r="K25" i="10"/>
  <c r="G26" i="10"/>
  <c r="I26" i="10" s="1"/>
  <c r="G27" i="10"/>
  <c r="J27" i="10" s="1"/>
  <c r="G28" i="10"/>
  <c r="I28" i="10" s="1"/>
  <c r="G29" i="10"/>
  <c r="I29" i="10" s="1"/>
  <c r="G30" i="10"/>
  <c r="K30" i="10" s="1"/>
  <c r="G31" i="10"/>
  <c r="I31" i="10" s="1"/>
  <c r="G44" i="10"/>
  <c r="G45" i="10"/>
  <c r="J45" i="10" s="1"/>
  <c r="G46" i="10"/>
  <c r="G47" i="10"/>
  <c r="I47" i="10" s="1"/>
  <c r="G48" i="10"/>
  <c r="K48" i="10" s="1"/>
  <c r="J48" i="10"/>
  <c r="G49" i="10"/>
  <c r="I49" i="10" s="1"/>
  <c r="G50" i="10"/>
  <c r="I50" i="10" s="1"/>
  <c r="G51" i="10"/>
  <c r="I51" i="10" s="1"/>
  <c r="G52" i="10"/>
  <c r="I52" i="10" s="1"/>
  <c r="G53" i="10"/>
  <c r="J53" i="10" s="1"/>
  <c r="G54" i="10"/>
  <c r="I54" i="10" s="1"/>
  <c r="G55" i="10"/>
  <c r="I55" i="10" s="1"/>
  <c r="G102" i="9"/>
  <c r="H102" i="9" s="1"/>
  <c r="J102" i="9" s="1"/>
  <c r="G103" i="9"/>
  <c r="H103" i="9" s="1"/>
  <c r="J103" i="9" s="1"/>
  <c r="G104" i="9"/>
  <c r="H104" i="9" s="1"/>
  <c r="J104" i="9" s="1"/>
  <c r="G105" i="9"/>
  <c r="H105" i="9"/>
  <c r="J105" i="9" s="1"/>
  <c r="G106" i="9"/>
  <c r="H106" i="9" s="1"/>
  <c r="J106" i="9" s="1"/>
  <c r="G60" i="9"/>
  <c r="H60" i="9" s="1"/>
  <c r="J60" i="9" s="1"/>
  <c r="G61" i="9"/>
  <c r="H61" i="9" s="1"/>
  <c r="J61" i="9" s="1"/>
  <c r="G62" i="9"/>
  <c r="H62" i="9"/>
  <c r="J62" i="9" s="1"/>
  <c r="G63" i="9"/>
  <c r="H63" i="9" s="1"/>
  <c r="J63" i="9" s="1"/>
  <c r="G68" i="9"/>
  <c r="H68" i="9" s="1"/>
  <c r="J68" i="9" s="1"/>
  <c r="G69" i="9"/>
  <c r="H69" i="9" s="1"/>
  <c r="J69" i="9" s="1"/>
  <c r="G70" i="9"/>
  <c r="H70" i="9" s="1"/>
  <c r="J70" i="9" s="1"/>
  <c r="G71" i="9"/>
  <c r="H71" i="9" s="1"/>
  <c r="J71" i="9" s="1"/>
  <c r="G72" i="9"/>
  <c r="H72" i="9" s="1"/>
  <c r="J72" i="9" s="1"/>
  <c r="G73" i="9"/>
  <c r="H73" i="9" s="1"/>
  <c r="J73" i="9" s="1"/>
  <c r="G74" i="9"/>
  <c r="H74" i="9" s="1"/>
  <c r="J74" i="9" s="1"/>
  <c r="G75" i="9"/>
  <c r="H75" i="9" s="1"/>
  <c r="J75" i="9" s="1"/>
  <c r="G76" i="9"/>
  <c r="H76" i="9" s="1"/>
  <c r="J76" i="9" s="1"/>
  <c r="G77" i="9"/>
  <c r="H77" i="9" s="1"/>
  <c r="J77" i="9" s="1"/>
  <c r="G78" i="9"/>
  <c r="H78" i="9" s="1"/>
  <c r="J78" i="9" s="1"/>
  <c r="G79" i="9"/>
  <c r="H79" i="9" s="1"/>
  <c r="J79" i="9" s="1"/>
  <c r="G80" i="9"/>
  <c r="H80" i="9" s="1"/>
  <c r="J80" i="9" s="1"/>
  <c r="G81" i="9"/>
  <c r="H81" i="9" s="1"/>
  <c r="J81" i="9" s="1"/>
  <c r="G82" i="9"/>
  <c r="H82" i="9" s="1"/>
  <c r="J82" i="9" s="1"/>
  <c r="G83" i="9"/>
  <c r="H83" i="9" s="1"/>
  <c r="J83" i="9" s="1"/>
  <c r="G84" i="9"/>
  <c r="H84" i="9" s="1"/>
  <c r="J84" i="9" s="1"/>
  <c r="G85" i="9"/>
  <c r="H85" i="9" s="1"/>
  <c r="J85" i="9" s="1"/>
  <c r="G86" i="9"/>
  <c r="H86" i="9" s="1"/>
  <c r="J86" i="9" s="1"/>
  <c r="G87" i="9"/>
  <c r="H87" i="9" s="1"/>
  <c r="J87" i="9" s="1"/>
  <c r="G88" i="9"/>
  <c r="H88" i="9" s="1"/>
  <c r="J88" i="9" s="1"/>
  <c r="G89" i="9"/>
  <c r="H89" i="9" s="1"/>
  <c r="J89" i="9" s="1"/>
  <c r="H17" i="9"/>
  <c r="J17" i="9" s="1"/>
  <c r="H18" i="9"/>
  <c r="J18" i="9" s="1"/>
  <c r="H19" i="9"/>
  <c r="J19" i="9" s="1"/>
  <c r="G13" i="9"/>
  <c r="H13" i="9" s="1"/>
  <c r="J13" i="9" s="1"/>
  <c r="G14" i="9"/>
  <c r="H14" i="9" s="1"/>
  <c r="J14" i="9" s="1"/>
  <c r="G15" i="9"/>
  <c r="H15" i="9" s="1"/>
  <c r="J15" i="9" s="1"/>
  <c r="G16" i="9"/>
  <c r="H16" i="9" s="1"/>
  <c r="J16" i="9" s="1"/>
  <c r="H20" i="9"/>
  <c r="J20" i="9" s="1"/>
  <c r="G21" i="9"/>
  <c r="H21" i="9" s="1"/>
  <c r="J21" i="9" s="1"/>
  <c r="H22" i="9"/>
  <c r="J22" i="9" s="1"/>
  <c r="H23" i="9"/>
  <c r="J23" i="9" s="1"/>
  <c r="H24" i="9"/>
  <c r="J24" i="9" s="1"/>
  <c r="H25" i="9"/>
  <c r="J25" i="9" s="1"/>
  <c r="H26" i="9"/>
  <c r="J26" i="9" s="1"/>
  <c r="H27" i="9"/>
  <c r="J27" i="9" s="1"/>
  <c r="H28" i="9"/>
  <c r="J28" i="9" s="1"/>
  <c r="H29" i="9"/>
  <c r="J29" i="9" s="1"/>
  <c r="H30" i="9"/>
  <c r="J30" i="9" s="1"/>
  <c r="H31" i="9"/>
  <c r="J31" i="9" s="1"/>
  <c r="G32" i="9"/>
  <c r="H32" i="9" s="1"/>
  <c r="J32" i="9" s="1"/>
  <c r="G33" i="9"/>
  <c r="H33" i="9" s="1"/>
  <c r="J33" i="9" s="1"/>
  <c r="G34" i="9"/>
  <c r="H34" i="9" s="1"/>
  <c r="J34" i="9" s="1"/>
  <c r="G35" i="9"/>
  <c r="H35" i="9" s="1"/>
  <c r="J35" i="9" s="1"/>
  <c r="G36" i="9"/>
  <c r="H36" i="9" s="1"/>
  <c r="J36" i="9" s="1"/>
  <c r="G37" i="9"/>
  <c r="H37" i="9" s="1"/>
  <c r="J37" i="9" s="1"/>
  <c r="G38" i="9"/>
  <c r="H38" i="9" s="1"/>
  <c r="J38" i="9" s="1"/>
  <c r="G39" i="9"/>
  <c r="H39" i="9" s="1"/>
  <c r="J39" i="9" s="1"/>
  <c r="G40" i="9"/>
  <c r="H40" i="9" s="1"/>
  <c r="J40" i="9" s="1"/>
  <c r="G41" i="9"/>
  <c r="H41" i="9" s="1"/>
  <c r="J41" i="9" s="1"/>
  <c r="B8" i="1"/>
  <c r="B9" i="1"/>
  <c r="F9" i="1" s="1"/>
  <c r="B10" i="1"/>
  <c r="F10" i="1" s="1"/>
  <c r="B11" i="1"/>
  <c r="F11" i="1" s="1"/>
  <c r="B7" i="1"/>
  <c r="O7" i="3" a="1"/>
  <c r="O7" i="3" s="1"/>
  <c r="Q7" i="3" a="1"/>
  <c r="Q7" i="3" s="1"/>
  <c r="E57" i="14" l="1"/>
  <c r="J21" i="2"/>
  <c r="I23" i="10"/>
  <c r="I19" i="10"/>
  <c r="K19" i="10" s="1"/>
  <c r="C17" i="1"/>
  <c r="I44" i="10"/>
  <c r="G12" i="1"/>
  <c r="H12" i="1"/>
  <c r="D8" i="1"/>
  <c r="I21" i="1"/>
  <c r="D9" i="1"/>
  <c r="K54" i="10"/>
  <c r="K58" i="10"/>
  <c r="J54" i="10"/>
  <c r="K31" i="10"/>
  <c r="J58" i="10"/>
  <c r="J31" i="10"/>
  <c r="F58" i="14"/>
  <c r="J52" i="10"/>
  <c r="I30" i="10"/>
  <c r="I27" i="10"/>
  <c r="K28" i="10"/>
  <c r="K26" i="10"/>
  <c r="J20" i="10"/>
  <c r="J18" i="10"/>
  <c r="J46" i="10"/>
  <c r="J28" i="10"/>
  <c r="J26" i="10"/>
  <c r="J22" i="10"/>
  <c r="I20" i="10"/>
  <c r="I18" i="10"/>
  <c r="K52" i="10"/>
  <c r="I46" i="10"/>
  <c r="J30" i="10"/>
  <c r="I22" i="10"/>
  <c r="K29" i="10"/>
  <c r="K21" i="10"/>
  <c r="J29" i="10"/>
  <c r="K24" i="10"/>
  <c r="J21" i="10"/>
  <c r="K27" i="10"/>
  <c r="J24" i="10"/>
  <c r="I48" i="10"/>
  <c r="I45" i="10"/>
  <c r="J44" i="10"/>
  <c r="K49" i="10"/>
  <c r="K51" i="10"/>
  <c r="J49" i="10"/>
  <c r="I53" i="10"/>
  <c r="J51" i="10"/>
  <c r="K55" i="10"/>
  <c r="J55" i="10"/>
  <c r="K50" i="10"/>
  <c r="J47" i="10"/>
  <c r="K47" i="10"/>
  <c r="K53" i="10"/>
  <c r="J50" i="10"/>
  <c r="K45" i="10"/>
  <c r="K22" i="2"/>
  <c r="C8" i="1" s="1"/>
  <c r="K23" i="2"/>
  <c r="C9" i="1" s="1"/>
  <c r="K24" i="2"/>
  <c r="C10" i="1" s="1"/>
  <c r="K25" i="2"/>
  <c r="C11" i="1" s="1"/>
  <c r="K21" i="2"/>
  <c r="C7" i="14" s="1"/>
  <c r="I22" i="2"/>
  <c r="I23" i="2"/>
  <c r="I24" i="2"/>
  <c r="I25" i="2"/>
  <c r="D99" i="9"/>
  <c r="D111" i="9"/>
  <c r="L111" i="9"/>
  <c r="G90" i="9"/>
  <c r="H90" i="9"/>
  <c r="J90" i="9" s="1"/>
  <c r="G91" i="9"/>
  <c r="H91" i="9" s="1"/>
  <c r="J91" i="9" s="1"/>
  <c r="G92" i="9"/>
  <c r="H92" i="9" s="1"/>
  <c r="J92" i="9" s="1"/>
  <c r="G93" i="9"/>
  <c r="H93" i="9" s="1"/>
  <c r="J93" i="9" s="1"/>
  <c r="G94" i="9"/>
  <c r="H94" i="9" s="1"/>
  <c r="J94" i="9" s="1"/>
  <c r="D10" i="14"/>
  <c r="C10" i="14"/>
  <c r="C30" i="14"/>
  <c r="G45" i="9"/>
  <c r="H45" i="9" s="1"/>
  <c r="J45" i="9" s="1"/>
  <c r="G46" i="9"/>
  <c r="H46" i="9" s="1"/>
  <c r="J46" i="9" s="1"/>
  <c r="D39" i="14"/>
  <c r="C40" i="14"/>
  <c r="C41" i="14"/>
  <c r="D41" i="14" s="1"/>
  <c r="C42" i="14"/>
  <c r="D42" i="14" s="1"/>
  <c r="C43" i="14"/>
  <c r="C44" i="14"/>
  <c r="E44" i="14" s="1"/>
  <c r="C45" i="14"/>
  <c r="C46" i="14"/>
  <c r="C47" i="14"/>
  <c r="C48" i="14"/>
  <c r="E48" i="14" s="1"/>
  <c r="C49" i="14"/>
  <c r="C50" i="14"/>
  <c r="D50" i="14" s="1"/>
  <c r="C51" i="14"/>
  <c r="C52" i="14"/>
  <c r="D52" i="14" s="1"/>
  <c r="C53" i="14"/>
  <c r="C54" i="14"/>
  <c r="D54" i="14" s="1"/>
  <c r="C55" i="14"/>
  <c r="C56" i="14"/>
  <c r="D56" i="14" s="1"/>
  <c r="D63" i="14"/>
  <c r="E63" i="14"/>
  <c r="F63" i="14"/>
  <c r="A64" i="14"/>
  <c r="L21" i="2" l="1"/>
  <c r="E26" i="14"/>
  <c r="E22" i="14"/>
  <c r="E18" i="14"/>
  <c r="E28" i="14"/>
  <c r="E20" i="14"/>
  <c r="E29" i="14"/>
  <c r="E24" i="14"/>
  <c r="E19" i="14"/>
  <c r="E25" i="14"/>
  <c r="E21" i="14"/>
  <c r="E27" i="14"/>
  <c r="D112" i="9"/>
  <c r="J25" i="2"/>
  <c r="L25" i="2"/>
  <c r="J24" i="2"/>
  <c r="L24" i="2"/>
  <c r="J23" i="2"/>
  <c r="L23" i="2"/>
  <c r="J22" i="2"/>
  <c r="L22" i="2"/>
  <c r="D21" i="14"/>
  <c r="G57" i="14"/>
  <c r="G59" i="14"/>
  <c r="G62" i="14"/>
  <c r="G61" i="14"/>
  <c r="G60" i="14"/>
  <c r="H57" i="14"/>
  <c r="H59" i="14"/>
  <c r="H62" i="14"/>
  <c r="H61" i="14"/>
  <c r="H60" i="14"/>
  <c r="G58" i="14"/>
  <c r="H58" i="14"/>
  <c r="G63" i="14"/>
  <c r="H63" i="14"/>
  <c r="K18" i="10"/>
  <c r="F8" i="1" s="1"/>
  <c r="K44" i="10"/>
  <c r="C7" i="1"/>
  <c r="C12" i="1" s="1"/>
  <c r="I25" i="1"/>
  <c r="K46" i="10"/>
  <c r="K111" i="9"/>
  <c r="D20" i="14"/>
  <c r="D27" i="14"/>
  <c r="D26" i="14"/>
  <c r="D28" i="14"/>
  <c r="D19" i="14"/>
  <c r="D25" i="14"/>
  <c r="D18" i="14"/>
  <c r="D22" i="14"/>
  <c r="D29" i="14"/>
  <c r="D24" i="14"/>
  <c r="E45" i="14"/>
  <c r="D45" i="14"/>
  <c r="F45" i="14" s="1"/>
  <c r="D53" i="14"/>
  <c r="E56" i="14"/>
  <c r="E42" i="14"/>
  <c r="F56" i="14"/>
  <c r="E55" i="14"/>
  <c r="E49" i="14"/>
  <c r="D49" i="14"/>
  <c r="F49" i="14" s="1"/>
  <c r="E50" i="14"/>
  <c r="E52" i="14"/>
  <c r="F52" i="14" s="1"/>
  <c r="E51" i="14"/>
  <c r="D48" i="14"/>
  <c r="F48" i="14" s="1"/>
  <c r="D44" i="14"/>
  <c r="F44" i="14" s="1"/>
  <c r="E46" i="14"/>
  <c r="E43" i="14"/>
  <c r="D43" i="14"/>
  <c r="F43" i="14" s="1"/>
  <c r="D55" i="14"/>
  <c r="F55" i="14" s="1"/>
  <c r="F50" i="14"/>
  <c r="D46" i="14"/>
  <c r="F46" i="14" s="1"/>
  <c r="E47" i="14"/>
  <c r="E54" i="14"/>
  <c r="F54" i="14" s="1"/>
  <c r="D47" i="14"/>
  <c r="F47" i="14" s="1"/>
  <c r="F42" i="14"/>
  <c r="E53" i="14"/>
  <c r="D51" i="14"/>
  <c r="F51" i="14" s="1"/>
  <c r="E40" i="14"/>
  <c r="D40" i="14"/>
  <c r="F40" i="14" s="1"/>
  <c r="E41" i="14"/>
  <c r="F41" i="14" s="1"/>
  <c r="E39" i="14"/>
  <c r="F39" i="14" s="1"/>
  <c r="H39" i="14" l="1"/>
  <c r="G39" i="14"/>
  <c r="G41" i="14"/>
  <c r="H41" i="14"/>
  <c r="G40" i="14"/>
  <c r="H40" i="14"/>
  <c r="G51" i="14"/>
  <c r="H51" i="14"/>
  <c r="G42" i="14"/>
  <c r="H42" i="14"/>
  <c r="G47" i="14"/>
  <c r="H47" i="14"/>
  <c r="G54" i="14"/>
  <c r="H54" i="14"/>
  <c r="G46" i="14"/>
  <c r="H46" i="14"/>
  <c r="G50" i="14"/>
  <c r="H50" i="14"/>
  <c r="G55" i="14"/>
  <c r="H55" i="14"/>
  <c r="G43" i="14"/>
  <c r="H43" i="14"/>
  <c r="G44" i="14"/>
  <c r="H44" i="14"/>
  <c r="G48" i="14"/>
  <c r="H48" i="14"/>
  <c r="G52" i="14"/>
  <c r="H52" i="14"/>
  <c r="G49" i="14"/>
  <c r="H49" i="14"/>
  <c r="G56" i="14"/>
  <c r="H56" i="14"/>
  <c r="G45" i="14"/>
  <c r="H45" i="14"/>
  <c r="F53" i="14"/>
  <c r="F64" i="14" s="1"/>
  <c r="D30" i="14"/>
  <c r="D23" i="14"/>
  <c r="E64" i="14"/>
  <c r="J63" i="10"/>
  <c r="G56" i="10"/>
  <c r="J56" i="10" s="1"/>
  <c r="K63" i="10"/>
  <c r="I63" i="10"/>
  <c r="J36" i="10"/>
  <c r="G43" i="9"/>
  <c r="H43" i="9" s="1"/>
  <c r="J43" i="9" s="1"/>
  <c r="G44" i="9"/>
  <c r="H44" i="9" s="1"/>
  <c r="J44" i="9" s="1"/>
  <c r="C14" i="14" l="1"/>
  <c r="C65" i="14"/>
  <c r="G53" i="14"/>
  <c r="G64" i="14" s="1"/>
  <c r="D65" i="14" s="1"/>
  <c r="H53" i="14"/>
  <c r="E30" i="14"/>
  <c r="E23" i="14"/>
  <c r="K56" i="10"/>
  <c r="I56" i="10"/>
  <c r="I8" i="1" l="1"/>
  <c r="I9" i="1"/>
  <c r="I10" i="1"/>
  <c r="I11" i="1"/>
  <c r="I7" i="1"/>
  <c r="I12" i="1" s="1"/>
  <c r="H64" i="14"/>
  <c r="H8" i="3"/>
  <c r="H9" i="3"/>
  <c r="G12" i="9"/>
  <c r="G42" i="9"/>
  <c r="H42" i="9" s="1"/>
  <c r="J42" i="9" s="1"/>
  <c r="G47" i="9"/>
  <c r="H47" i="9" s="1"/>
  <c r="J47" i="9" s="1"/>
  <c r="G48" i="9"/>
  <c r="H48" i="9" s="1"/>
  <c r="J48" i="9" s="1"/>
  <c r="G49" i="9"/>
  <c r="H49" i="9" s="1"/>
  <c r="J49" i="9" s="1"/>
  <c r="G50" i="9"/>
  <c r="H50" i="9" s="1"/>
  <c r="J50" i="9" s="1"/>
  <c r="G51" i="9"/>
  <c r="H51" i="9" s="1"/>
  <c r="J51" i="9" s="1"/>
  <c r="J21" i="1" l="1"/>
  <c r="E65" i="14"/>
  <c r="H12" i="9"/>
  <c r="E7" i="1" s="1" a="1"/>
  <c r="E7" i="1" s="1"/>
  <c r="E12" i="1" s="1"/>
  <c r="E9" i="15" s="1"/>
  <c r="L9" i="3"/>
  <c r="H17" i="1"/>
  <c r="L8" i="3"/>
  <c r="H16" i="1"/>
  <c r="G110" i="9"/>
  <c r="H110" i="9" s="1"/>
  <c r="J110" i="9" s="1"/>
  <c r="J12" i="9" l="1"/>
  <c r="J52" i="9" s="1"/>
  <c r="K12" i="9"/>
  <c r="K52" i="9" s="1"/>
  <c r="D7" i="1"/>
  <c r="D52" i="9"/>
  <c r="G59" i="9"/>
  <c r="G95" i="9"/>
  <c r="H95" i="9" s="1"/>
  <c r="J95" i="9" s="1"/>
  <c r="G96" i="9"/>
  <c r="H96" i="9" s="1"/>
  <c r="J96" i="9" s="1"/>
  <c r="G97" i="9"/>
  <c r="H97" i="9" s="1"/>
  <c r="J97" i="9" s="1"/>
  <c r="H59" i="9" l="1"/>
  <c r="G16" i="1"/>
  <c r="G57" i="10"/>
  <c r="C64" i="10"/>
  <c r="D64" i="10"/>
  <c r="B64" i="10"/>
  <c r="I36" i="10"/>
  <c r="K36" i="10" s="1"/>
  <c r="B37" i="10"/>
  <c r="C37" i="10"/>
  <c r="D37" i="10"/>
  <c r="G43" i="10"/>
  <c r="H43" i="10" s="1"/>
  <c r="G17" i="10"/>
  <c r="H17" i="10" s="1"/>
  <c r="G98" i="9"/>
  <c r="H98" i="9" s="1"/>
  <c r="J98" i="9" s="1"/>
  <c r="G101" i="9"/>
  <c r="G107" i="9"/>
  <c r="H107" i="9" s="1"/>
  <c r="J107" i="9" s="1"/>
  <c r="G108" i="9"/>
  <c r="H108" i="9" s="1"/>
  <c r="J108" i="9" s="1"/>
  <c r="G109" i="9"/>
  <c r="H109" i="9" s="1"/>
  <c r="J109" i="9" s="1"/>
  <c r="K59" i="9" l="1"/>
  <c r="D21" i="1"/>
  <c r="L99" i="9"/>
  <c r="L112" i="9" s="1"/>
  <c r="B114" i="9" s="1"/>
  <c r="J59" i="9"/>
  <c r="J99" i="9" s="1"/>
  <c r="E16" i="1" a="1"/>
  <c r="E16" i="1" s="1"/>
  <c r="H101" i="9"/>
  <c r="G111" i="9"/>
  <c r="H99" i="9"/>
  <c r="G99" i="9"/>
  <c r="G21" i="1"/>
  <c r="K57" i="10"/>
  <c r="I57" i="10"/>
  <c r="J57" i="10"/>
  <c r="J43" i="10"/>
  <c r="I17" i="10"/>
  <c r="J17" i="10"/>
  <c r="F8" i="15" l="1"/>
  <c r="M20" i="1"/>
  <c r="K99" i="9"/>
  <c r="K112" i="9"/>
  <c r="E21" i="1"/>
  <c r="F9" i="15" s="1"/>
  <c r="G112" i="9"/>
  <c r="J101" i="9"/>
  <c r="H111" i="9"/>
  <c r="H112" i="9" s="1"/>
  <c r="J37" i="10"/>
  <c r="H37" i="10"/>
  <c r="D31" i="1" l="1"/>
  <c r="E31" i="1" s="1"/>
  <c r="F31" i="1" s="1"/>
  <c r="G31" i="1" s="1"/>
  <c r="H31" i="1" s="1"/>
  <c r="E26" i="1"/>
  <c r="C16" i="1"/>
  <c r="I26" i="1"/>
  <c r="I27" i="1" s="1"/>
  <c r="H26" i="1" a="1"/>
  <c r="H26" i="1" s="1"/>
  <c r="B115" i="9" a="1"/>
  <c r="B115" i="9" s="1"/>
  <c r="J111" i="9"/>
  <c r="J112" i="9"/>
  <c r="I37" i="10"/>
  <c r="K17" i="10"/>
  <c r="F7" i="1" s="1"/>
  <c r="F12" i="1" s="1"/>
  <c r="I43" i="10"/>
  <c r="K43" i="10" s="1"/>
  <c r="C21" i="1" l="1"/>
  <c r="J16" i="1"/>
  <c r="J26" i="1"/>
  <c r="K37" i="10"/>
  <c r="D34" i="14" s="1"/>
  <c r="D14" i="14" s="1"/>
  <c r="J64" i="10"/>
  <c r="D7" i="10" s="1"/>
  <c r="I64" i="10"/>
  <c r="D6" i="10" s="1"/>
  <c r="H64" i="10"/>
  <c r="C5" i="10"/>
  <c r="D5" i="10"/>
  <c r="C7" i="10"/>
  <c r="C6" i="10"/>
  <c r="J17" i="1" l="1"/>
  <c r="K17" i="1" s="1"/>
  <c r="J18" i="1"/>
  <c r="J19" i="1"/>
  <c r="J20" i="1"/>
  <c r="M8" i="1"/>
  <c r="D25" i="1" s="1"/>
  <c r="E7" i="15"/>
  <c r="K64" i="10"/>
  <c r="E34" i="14" s="1"/>
  <c r="C8" i="10"/>
  <c r="E5" i="10"/>
  <c r="E6" i="10"/>
  <c r="D8" i="10"/>
  <c r="E7" i="10"/>
  <c r="H10" i="3"/>
  <c r="H11" i="3"/>
  <c r="H12" i="3"/>
  <c r="F21" i="1" l="1"/>
  <c r="L12" i="3"/>
  <c r="H20" i="1"/>
  <c r="K20" i="1" s="1"/>
  <c r="L11" i="3"/>
  <c r="H19" i="1"/>
  <c r="K19" i="1" s="1"/>
  <c r="L10" i="3"/>
  <c r="E33" i="14" s="1"/>
  <c r="E14" i="14" s="1"/>
  <c r="H18" i="1"/>
  <c r="K18" i="1" s="1"/>
  <c r="G52" i="9"/>
  <c r="D10" i="1"/>
  <c r="E8" i="10"/>
  <c r="D11" i="1" l="1"/>
  <c r="D12" i="1" s="1"/>
  <c r="H52" i="9"/>
  <c r="H25" i="1" s="1" a="1"/>
  <c r="H25" i="1" s="1"/>
  <c r="H21" i="1"/>
  <c r="F7" i="15" l="1"/>
  <c r="M17" i="1"/>
  <c r="M11" i="1"/>
  <c r="E25" i="1" s="1"/>
  <c r="E8" i="15"/>
  <c r="G25" i="1"/>
  <c r="E10" i="15" s="1"/>
  <c r="H27" i="1"/>
  <c r="J25" i="1"/>
  <c r="J27" i="1" s="1"/>
  <c r="L52" i="9"/>
  <c r="B55" i="9" s="1" a="1"/>
  <c r="B55" i="9" s="1"/>
  <c r="B7" i="9" s="1"/>
  <c r="K16" i="1" l="1"/>
  <c r="D26" i="1"/>
  <c r="D32" i="1"/>
  <c r="D33" i="1" s="1"/>
  <c r="D27" i="1"/>
  <c r="F25" i="1"/>
  <c r="E27" i="1"/>
  <c r="B54" i="9"/>
  <c r="G26" i="1" l="1"/>
  <c r="F26" i="1"/>
  <c r="F27" i="1" s="1"/>
  <c r="E32" i="1"/>
  <c r="E33" i="1" s="1"/>
  <c r="B6" i="9"/>
  <c r="F10" i="15" l="1"/>
  <c r="G27" i="1"/>
  <c r="F32" i="1"/>
  <c r="F33" i="1" s="1"/>
  <c r="G32" i="1" l="1"/>
  <c r="G33" i="1" s="1"/>
  <c r="I31" i="1"/>
  <c r="H32" i="1" l="1"/>
  <c r="H33" i="1" s="1"/>
  <c r="I32" i="1" l="1"/>
  <c r="I33" i="1" s="1"/>
  <c r="E13" i="1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<sst xmlns="http://schemas.openxmlformats.org/spreadsheetml/2006/main" count="336" uniqueCount="233">
  <si>
    <t>Executive Summary</t>
  </si>
  <si>
    <t>Recovery of Investment Template (RIT)</t>
  </si>
  <si>
    <t xml:space="preserve">Note: This page is for OSP review and information will be auto-populated as information is entered on subsequent tabs of this spreadsheet. </t>
  </si>
  <si>
    <t>Current Equipment</t>
  </si>
  <si>
    <t>Proposed Equipment</t>
  </si>
  <si>
    <t>Total Expenditures</t>
  </si>
  <si>
    <t>Total Revenue or Cost Avoidance</t>
  </si>
  <si>
    <t>Five Year Surplus/Deficit</t>
  </si>
  <si>
    <t>Notes:</t>
  </si>
  <si>
    <t>1) Total expenditures is the combined cost of all equipment requested in this form, including labor, service costs, depreciation, training, and any additional expenditures.</t>
  </si>
  <si>
    <t>2) Total Returns consists of all revenue and/or cost avoidance resulting in jobs performed by all equipment requested in this form.</t>
  </si>
  <si>
    <t>3) "Throughput" shows all combined production in either pages or pieces, depending on the units selected on the "Current Equipment" Tab.</t>
  </si>
  <si>
    <t>Data Summary</t>
  </si>
  <si>
    <t>Note: This page is for OSP review and information will be auto-populated as information is entered on subsequent tabs of this spreadsheet. Only enter the current rate for equipment if rates have been developed for your in-plant.</t>
  </si>
  <si>
    <t>Summary - Current Equipment (Replacing)</t>
  </si>
  <si>
    <t>Equipment Proposed for Replacement</t>
  </si>
  <si>
    <t>Annual Average Hours</t>
  </si>
  <si>
    <t>Revenue/Cost Avoidance</t>
  </si>
  <si>
    <t>Machine Labor</t>
  </si>
  <si>
    <t>Service Cost</t>
  </si>
  <si>
    <t>Depreciation</t>
  </si>
  <si>
    <t>Additional Expenditures</t>
  </si>
  <si>
    <t>Current Rate</t>
  </si>
  <si>
    <t>Current Equipment Total Expenditures</t>
  </si>
  <si>
    <t>Current Equipment Total Rev/Cost Avoidance</t>
  </si>
  <si>
    <t>Totals</t>
  </si>
  <si>
    <t>Summary - Proposed Equipment</t>
  </si>
  <si>
    <t>Annual Projected Hours</t>
  </si>
  <si>
    <t>Training Costs (One Time Cost)</t>
  </si>
  <si>
    <t>Proposed Rate ($/HR)</t>
  </si>
  <si>
    <t>Proposed Equipment Total Expenditures</t>
  </si>
  <si>
    <t>Proposed Equipment Total Rev/Cost Avoidance</t>
  </si>
  <si>
    <t xml:space="preserve"> Totals</t>
  </si>
  <si>
    <t>Change Values</t>
  </si>
  <si>
    <t>Equipment Setup</t>
  </si>
  <si>
    <t>Total Annual Expenditures</t>
  </si>
  <si>
    <t>Total Annual Revenue/Cost Avoidance</t>
  </si>
  <si>
    <t>Total Annual Return</t>
  </si>
  <si>
    <t>Annual Production Hours</t>
  </si>
  <si>
    <t>Current</t>
  </si>
  <si>
    <t>Proposed</t>
  </si>
  <si>
    <t>Net Change Value</t>
  </si>
  <si>
    <r>
      <rPr>
        <b/>
        <sz val="11"/>
        <color rgb="FF000000"/>
        <rFont val="Aptos Narrow"/>
        <scheme val="minor"/>
      </rPr>
      <t xml:space="preserve">5-Year Return on Investment Summary </t>
    </r>
    <r>
      <rPr>
        <b/>
        <i/>
        <sz val="11"/>
        <color rgb="FF000000"/>
        <rFont val="Aptos Narrow"/>
        <scheme val="minor"/>
      </rPr>
      <t>(Annual Increase based on 3% inflation)</t>
    </r>
  </si>
  <si>
    <t>Fiscal Year</t>
  </si>
  <si>
    <t>FY 26/27</t>
  </si>
  <si>
    <t>FY 27/28</t>
  </si>
  <si>
    <t>FY 28/29</t>
  </si>
  <si>
    <t>FY 29/30</t>
  </si>
  <si>
    <t>FY 30/31</t>
  </si>
  <si>
    <t>5 Year ROI</t>
  </si>
  <si>
    <t>Proposed Equipment Estimated Revenue/Cost Avoidance</t>
  </si>
  <si>
    <t xml:space="preserve"> Proposed Equipment Total Expenditures</t>
  </si>
  <si>
    <t>Estimated Surplus/Deficit</t>
  </si>
  <si>
    <t>Equipment Summary Instructions</t>
  </si>
  <si>
    <t>Production Summary Instructions</t>
  </si>
  <si>
    <r>
      <rPr>
        <b/>
        <sz val="11"/>
        <color rgb="FF000000"/>
        <rFont val="Arial"/>
        <family val="2"/>
      </rPr>
      <t xml:space="preserve"> - List equipment owned by the in-plant that is to be replaced upon the procurement of the proposed equipment
 - Fill in each column with the relevant data.
 - None of the fields should be listed as "N/A".
 - The "Click Charge" and "Depreciation" columns can be listed as "0" if neither apply.
 - </t>
    </r>
    <r>
      <rPr>
        <b/>
        <sz val="11"/>
        <color rgb="FFFF0000"/>
        <rFont val="Arial"/>
        <family val="2"/>
      </rPr>
      <t xml:space="preserve">The "Units" column </t>
    </r>
    <r>
      <rPr>
        <b/>
        <i/>
        <sz val="11"/>
        <color rgb="FFFF0000"/>
        <rFont val="Arial"/>
        <family val="2"/>
      </rPr>
      <t>MUST</t>
    </r>
    <r>
      <rPr>
        <b/>
        <sz val="11"/>
        <color rgb="FFFF0000"/>
        <rFont val="Arial"/>
        <family val="2"/>
      </rPr>
      <t xml:space="preserve"> be filled out</t>
    </r>
    <r>
      <rPr>
        <b/>
        <sz val="11"/>
        <color rgb="FF000000"/>
        <rFont val="Arial"/>
        <family val="2"/>
      </rPr>
      <t xml:space="preserve">. Any headers with red text will be corrected when either "Pieces" or "8.5x11 Pages is selected for the first cell in the "Units" column.
 - Instructions for individual columns can be found by selecting the column header and hovering your mouse over it.
 - If the equipment being requested for purchase is an addition to your in-plant rather than a replacement, this table can be left blank with the exception of the "Units" column. The first cell in the Units column </t>
    </r>
    <r>
      <rPr>
        <b/>
        <i/>
        <sz val="11"/>
        <color rgb="FF000000"/>
        <rFont val="Arial"/>
        <family val="2"/>
      </rPr>
      <t>MUST</t>
    </r>
    <r>
      <rPr>
        <b/>
        <sz val="11"/>
        <color rgb="FF000000"/>
        <rFont val="Arial"/>
        <family val="2"/>
      </rPr>
      <t xml:space="preserve"> be filled out.</t>
    </r>
  </si>
  <si>
    <t xml:space="preserve"> - Enter the annual impression or piece counts for the listed machines for each of the last three full calendar years (January - December).
 - Enter the annual production hours for the listed machines for each of the last three full calendar years (January - December).
 - This information can/should be pulled from the IPPORs for those years.
 - If the equipment being requested for purchase is an addition to your in-plant rather than a replacement, these fields can be left blank.
</t>
  </si>
  <si>
    <t>Equipment Summary</t>
  </si>
  <si>
    <t>Make/Model</t>
  </si>
  <si>
    <t>Digital/
Offset</t>
  </si>
  <si>
    <t>Units</t>
  </si>
  <si>
    <t>Rollfed/
Sheetfed</t>
  </si>
  <si>
    <t>Year Acquired</t>
  </si>
  <si>
    <t>Click Charge</t>
  </si>
  <si>
    <t>Annual Service Cost</t>
  </si>
  <si>
    <t xml:space="preserve">Annual Depreciation </t>
  </si>
  <si>
    <t xml:space="preserve"> Impression Size</t>
  </si>
  <si>
    <t>8.5x11 Pages/ Impression</t>
  </si>
  <si>
    <t>8.5x11 Pages</t>
  </si>
  <si>
    <t>Production Summary</t>
  </si>
  <si>
    <t>Production Hours</t>
  </si>
  <si>
    <t>Averages</t>
  </si>
  <si>
    <t>Average Annual Operating Hrs</t>
  </si>
  <si>
    <t>Proposed Equipment Acquisition</t>
  </si>
  <si>
    <t>Proposed Equipment Acquisition Instructions</t>
  </si>
  <si>
    <t xml:space="preserve">
 - List equipment proposed for purchase by the In-Plant.
 - Fill in each column with the relevant data.
 - If any of the column headers have red text, please fill out the "Units" column for the first press under the "Current Equipment" tab.
 - Instructions for individual columns can be seen by selecting the column header and hovering your mouse over it.
 - If equipment is not a standard press, such as a large format printer, an inserter, or finishing equipment, please enter "N/A" in the "Standard Impression Size" and "8.5x11 Pages/Impression" column.</t>
  </si>
  <si>
    <t>Equipment Cost</t>
  </si>
  <si>
    <t>Sales Tax Rate</t>
  </si>
  <si>
    <t>Training Cost</t>
  </si>
  <si>
    <t>Purchase or Lease?</t>
  </si>
  <si>
    <t>Procurment Cost</t>
  </si>
  <si>
    <t>Depreciation Period (Years)</t>
  </si>
  <si>
    <t>Annual Cost</t>
  </si>
  <si>
    <t>Standard Impression Size</t>
  </si>
  <si>
    <t>Projected Impressions</t>
  </si>
  <si>
    <t>Projected Job Production and Returns</t>
  </si>
  <si>
    <t>Job Value Instructions</t>
  </si>
  <si>
    <r>
      <rPr>
        <b/>
        <sz val="11"/>
        <color rgb="FF000000"/>
        <rFont val="Arial"/>
        <family val="2"/>
      </rPr>
      <t xml:space="preserve"> 
 - The Current Cost Avoidance/Revenue table should show a list of consistent work currently performed by the equipment being replaced.
 - In-Plants don't need to list every single job run in a given year. Group jobs by products produced on average weekly, monthly, annually, or by the number of jobs run annually. Estimates can be provided either by the private sector or OSP. Contact the OSP In-Plant Unit for assistance with obtaining OSP estimates.
 - OSP should list individual jobs performed. If a job is consistent throughout the year, but requires different job numbers like Legi, they can be grouped onto a single line.
 - The Future Cost Avoidance/Revenue table should show a list of consistent work that is being transitioned from the press being replaced to new equipment. The bottom section of the table, labelled "New Job Cost Avoidance/Revenue" should show a list of new jobs the in-plant will be able to onboard with the new equipment purchase.
 - Lines 20-49, 67-96, and 103-107 are hidden to save space. If more room is needed, unlock the spreadsheet and unhide the lines, then lock it again. There is no password protecting the sheet.
 - If any cells contain "</t>
    </r>
    <r>
      <rPr>
        <b/>
        <sz val="11"/>
        <color rgb="FFFF0000"/>
        <rFont val="Arial"/>
        <family val="2"/>
      </rPr>
      <t>FILL IN UNITS ON CURRENT EQ TAB</t>
    </r>
    <r>
      <rPr>
        <b/>
        <sz val="11"/>
        <color rgb="FF000000"/>
        <rFont val="Arial"/>
        <family val="2"/>
      </rPr>
      <t>" please return to the "Current Equipment (Replacing)" tab and fill in cell C11, even if you are not replacing any equipment.
 - The term "Returns" refers to the return on investment either in the form of revenue or cost avoidance, depending on the nature of work performed.
 - A job is designated as "Cost Avoidance" if it is performed for an internal customer. For example: DMV printing booklets for DMV
 - A job is designated as "Revenue" if it is peformed for an external customer. For example: OSP printing booklets for DMV</t>
    </r>
  </si>
  <si>
    <t>NET VALUE</t>
  </si>
  <si>
    <t>Net Average Cost/Sheet</t>
  </si>
  <si>
    <t>Current Job Production and Returns</t>
  </si>
  <si>
    <t>JOB DESCRIPTION</t>
  </si>
  <si>
    <t>COST AVOIDANCE/ REVENUE</t>
  </si>
  <si>
    <t>ASSIGNED PRESS</t>
  </si>
  <si>
    <t>ANNUAL QUANTITY</t>
  </si>
  <si>
    <t>IMPRESSIONS PER PIECE/PRODUCT</t>
  </si>
  <si>
    <t>TOTAL IMPRESSIONS</t>
  </si>
  <si>
    <t>TOTAL 8.5X11 PAGES</t>
  </si>
  <si>
    <t>FINISHING REQUIREMENTS</t>
  </si>
  <si>
    <t>Cost/8.5x11 Page</t>
  </si>
  <si>
    <t>COST PER PIECE</t>
  </si>
  <si>
    <t>ANNUAL JOB VALUE</t>
  </si>
  <si>
    <t>NOTES/COMMENTS</t>
  </si>
  <si>
    <t>TOTALS (Cost per Page/Piece are Averages)</t>
  </si>
  <si>
    <t>CURRENT TOTAL VALUE</t>
  </si>
  <si>
    <t>Future Job Production and Returns</t>
  </si>
  <si>
    <t>SUBTOTAL OF TRANSFERED JOBS
(Cost per Page/Piece are Averages)</t>
  </si>
  <si>
    <t>New Job Production and Returns</t>
  </si>
  <si>
    <t>NEW JOB TOTALS (Cost per Page/Piece are Averages)</t>
  </si>
  <si>
    <t>GRAND TOTAL/TRANSFERED JOBS + NEW JOBS</t>
  </si>
  <si>
    <t>FUTURE TOTAL VALUE</t>
  </si>
  <si>
    <t>Labor Summary</t>
  </si>
  <si>
    <t>Future</t>
  </si>
  <si>
    <t>Difference</t>
  </si>
  <si>
    <t>Operators</t>
  </si>
  <si>
    <t>Salary</t>
  </si>
  <si>
    <t>Benefits</t>
  </si>
  <si>
    <t>Total Labor Cost</t>
  </si>
  <si>
    <t>Benefits Percentage</t>
  </si>
  <si>
    <t xml:space="preserve"> Current Labor Expense</t>
  </si>
  <si>
    <t>Labor Expenditures Instructions</t>
  </si>
  <si>
    <t>1st Shift Operator(s)</t>
  </si>
  <si>
    <t>2nd Shift Operator(s)</t>
  </si>
  <si>
    <t>3rd Shift Operator(s)</t>
  </si>
  <si>
    <t>Assigned Machine</t>
  </si>
  <si>
    <t>CLASSIFICATION</t>
  </si>
  <si>
    <t xml:space="preserve">Annual Salary </t>
  </si>
  <si>
    <t xml:space="preserve">Shift Differential </t>
  </si>
  <si>
    <t>Total Salary</t>
  </si>
  <si>
    <t xml:space="preserve">Total Expense </t>
  </si>
  <si>
    <t xml:space="preserve"> - Enter in the number of operator positions required to run the current equipment at any given time. For example, if a press only requires a single operator to run it, enter "1" for each shift the machine is utilized. 
 - The Current Labor Expense table is for the equipment being replaced.
 - The Future Labor Expense table is for the requested replacement. 
 - The Current and Future Labor Expenses may be exactly the same if your program is requesting a like-for-like replacement, but both still must be filled out.
 - Select the classification from the drop down.
 - If the desired classification is not listed, you can enter it manually in the white space at the bottom along with their maximum annual salary.
 - Benefits percentagesmust be included and typically range between 50% and 70% depending on the department. You can obtain this number through your departement's budgets team. 
 - Lines 21 - 34 and 47 - 61 are hidden. If you need more lines to fill, unlock the spreadsheet and unhide them, then lock the spreadsheet again. There is no password protecting the spreadsheet.
 </t>
  </si>
  <si>
    <t xml:space="preserve"> Differential (0%)</t>
  </si>
  <si>
    <t xml:space="preserve"> Differential (8%)</t>
  </si>
  <si>
    <t xml:space="preserve"> Differential (10%)</t>
  </si>
  <si>
    <t>NOT LISTED - FILL IN AS NECESSARY</t>
  </si>
  <si>
    <t xml:space="preserve">TOTAL </t>
  </si>
  <si>
    <t xml:space="preserve"> Future Labor Expense</t>
  </si>
  <si>
    <t>EXPENSE FACTOR 
(percentage of cost attributed to new equipment)</t>
  </si>
  <si>
    <t>Expense Factor Instructions</t>
  </si>
  <si>
    <t>Notes</t>
  </si>
  <si>
    <t xml:space="preserve"> - This version of the RIT bases the expense factor off of total pages produced for press equipment and total pieces for all other equipment.
 - If you see red text, please fill in cell C11 on the "Current Equipment (Replacing)" tab, even if you are only procuring new equipment and not replacing anything.
 - The expense factor reflects the percentage of non-equipment specific expenses the equipment is responsible for recovering for.
 - The expense factor for press equipment is based on the pages produced on the current/proposed equipment, compared to the total pages produced by the in-plant.
 - The expense factor for bindery/finishing equipment is based on the current/proposed bindery/finishing equipment production hours, compared to the total bindery/finishing production hours for the in-plant.
 - It is possible that the current equipment and proposed equipment expense factors will be the same if a like-for-like replacement is being requested.</t>
  </si>
  <si>
    <t>Total Pieces of Equipment in Printing Operation 
(Including Proposed Equipment)</t>
  </si>
  <si>
    <t>Annual Production Hours (Current and Proposed EQ only)</t>
  </si>
  <si>
    <t>Expense Factor</t>
  </si>
  <si>
    <t>Printing Operation</t>
  </si>
  <si>
    <t>PROJECTED EXPENDITURES 
(Printing Operation)</t>
  </si>
  <si>
    <t>Comments</t>
  </si>
  <si>
    <t>Projected Expenditures</t>
  </si>
  <si>
    <t>General Operations</t>
  </si>
  <si>
    <t xml:space="preserve"> - These numbers represent the actual cost of running a given in-plant. 
 - Your budgets team may be able to assist you with finding these numbers, but if additional assistance is required, please reach out to the OSP In-Plant Unit.
 - Not all in-plants have dedicated technical or contract support. If your program does not employ these services, they may be left blank. See cell C18 and C19 instructions for more information.
 - General Operations numbers should always include total paper expenses.</t>
  </si>
  <si>
    <t>Technical Support</t>
  </si>
  <si>
    <t>Contracts Support</t>
  </si>
  <si>
    <t>Professional Services</t>
  </si>
  <si>
    <t>Software Expenses</t>
  </si>
  <si>
    <t>Total Opearational Expenditures</t>
  </si>
  <si>
    <t>Statewide Pro - Rata</t>
  </si>
  <si>
    <t>Overhead Expenditures</t>
  </si>
  <si>
    <t>Departmental Overhead</t>
  </si>
  <si>
    <t xml:space="preserve"> - Overhead expenditures are costs indirect to an in-plant that the in-plant is required to recover for per SAM Section 9210.
 - Statewide Pro Rata and Departmental Overhead can be calculated with the assistance of your department's budgets team. However, OSP does provide cookie cutter calculations based on it's own Pro Rata and Overhead responsibilities. Because these calculations are based on Personnel costs and percentage of budget, the cookie-cutter calculations should not overburden State in-plants.
 - Even if your department does not have to pay into the Statewide Pro Rata, a number is required to maintain a level playing field across all in-plants.
 - Reach out to the OSP In-Plant Unit with any questions.</t>
  </si>
  <si>
    <t>Program Overhead</t>
  </si>
  <si>
    <t>Space Utilization</t>
  </si>
  <si>
    <t>Other Overhead Funds</t>
  </si>
  <si>
    <t>Utility Expenses</t>
  </si>
  <si>
    <t>Total Overhead Expenditures</t>
  </si>
  <si>
    <t>Machine Costs (service costs, software, depreciation, training etc.)</t>
  </si>
  <si>
    <t>Machine Labor Costs</t>
  </si>
  <si>
    <t>Staffing Expenditures Management and Support Staff</t>
  </si>
  <si>
    <t>Management and Support Staff</t>
  </si>
  <si>
    <t>Number of Positions</t>
  </si>
  <si>
    <t>Position Classification</t>
  </si>
  <si>
    <t>Operational Expense</t>
  </si>
  <si>
    <t xml:space="preserve"> - This table is meant to capture the personnel cost of the requesting in-plant.
 - Fill out position numbers for all management and support staff included on the IPPOR. 
 - Positions up through the section chief of the program the requesting in-plant belongs to should also be included (SSM I, SSM II, SSM III, Chief).
 - Fractions can be used for management positions.  The fraction should be 1/(Number of programs managed). For example, if a Staff Services Manager I oversees the in-plant and a contracts team, enter 0.5 under the number of positions. </t>
  </si>
  <si>
    <t>Operational+Overhead+Support Staffing</t>
  </si>
  <si>
    <t>Annual Salary</t>
  </si>
  <si>
    <t>Monthly</t>
  </si>
  <si>
    <t>AUDIO VISUAL SPECIALIST</t>
  </si>
  <si>
    <t>ADMINISTRATOR I, FRANCHISE TAX BOARD</t>
  </si>
  <si>
    <t>BEHAVIOR SPECIALIST I</t>
  </si>
  <si>
    <t>ADMINISTRATOR II, FRANCHISE TAX BOARD</t>
  </si>
  <si>
    <t>BOOKBINDER II</t>
  </si>
  <si>
    <t>ANALYST I</t>
  </si>
  <si>
    <t>BOOKBINDER III</t>
  </si>
  <si>
    <t>ANALYST II</t>
  </si>
  <si>
    <t>BOOKBINDER IV</t>
  </si>
  <si>
    <t>ASSOCIATE PRINTING PLANT SUPERINTENDENT</t>
  </si>
  <si>
    <t>BUSINESS SERVICE ASSISTANT</t>
  </si>
  <si>
    <t>BUSINESS SERVICE OFFICER I (SPECIALIST)</t>
  </si>
  <si>
    <t>BUSINESS SERVICE OFFICER I (SUPERVISOR)</t>
  </si>
  <si>
    <t>BUSINESS SERVICE OFFICER II (SPECIALIST)</t>
  </si>
  <si>
    <t>BUSINESS SERVICE OFFICER II (SUPERVISOR)</t>
  </si>
  <si>
    <t>BUSINESS SERVICE OFFICER III</t>
  </si>
  <si>
    <t>DIGITAL COMPOSITION SPECIALIST I</t>
  </si>
  <si>
    <t>DIGITAL COMPOSITION SPECIALIST II</t>
  </si>
  <si>
    <t>COMPUTER OPERATIONS SUPERVISOR</t>
  </si>
  <si>
    <t>DIGITAL COMPOSITION SPECIALIST III</t>
  </si>
  <si>
    <t>DIGITAL PRINT OPERATOR I</t>
  </si>
  <si>
    <t>DIGITAL PRINT OPERATOR II</t>
  </si>
  <si>
    <t>INFORMATION SYSTEMS TECHNICIAN</t>
  </si>
  <si>
    <t>HOSPITAL GENERAL SERVICES ADMINISTRATOR I</t>
  </si>
  <si>
    <t>INFORMATION TECHNOLOGY ASSOCIATE</t>
  </si>
  <si>
    <t>INFORMATION TECHNOLOGY SPECIALIST I</t>
  </si>
  <si>
    <t>INFORMATION TECHNOLOGY MANAGER I</t>
  </si>
  <si>
    <t>INFORMATION TECHNOLOGY SPECIALIST II</t>
  </si>
  <si>
    <t>MAILING MACHINE OPERATOR I</t>
  </si>
  <si>
    <t>MAILING MACHINE OPERATOR II</t>
  </si>
  <si>
    <t>INFORMATION TECHNOLOGY SUPERVISOR II</t>
  </si>
  <si>
    <t>MAILING MACHINE SUPERVISOR I</t>
  </si>
  <si>
    <t>INFORMATION TECHNOLOGY TECHNICIAN</t>
  </si>
  <si>
    <t>MAILING MACHINE SUPERVISOR II</t>
  </si>
  <si>
    <t>MANAGER I</t>
  </si>
  <si>
    <t>PRINTING TRADES ASSISTANT II</t>
  </si>
  <si>
    <t>MANAGER II</t>
  </si>
  <si>
    <t>PRINTING TRADES PRODUCTION COORDINATOR</t>
  </si>
  <si>
    <t>OFFICE TECHNICIAN</t>
  </si>
  <si>
    <t>PRINTING TRADES SPECIALIST TRAINEE</t>
  </si>
  <si>
    <t>PRINTING TRADES SUPERVISOR I</t>
  </si>
  <si>
    <t>PRINTING TRADES SUPERVISOR II</t>
  </si>
  <si>
    <t>PROGRAM ASSISTANT</t>
  </si>
  <si>
    <t>SENIOR PRINTING TRADES SPECIALIST</t>
  </si>
  <si>
    <t>PROGRAM DIRECTOR</t>
  </si>
  <si>
    <t>SHEETFED OFFSET PRESS OPERATOR I</t>
  </si>
  <si>
    <t>SHEETFED OFFSET PRESS OPERATOR II</t>
  </si>
  <si>
    <t>SHEETFED OFFSET PRESS OPERATOR III</t>
  </si>
  <si>
    <t>STUDENT ASSISTANT</t>
  </si>
  <si>
    <t>SHEETFED OFFSET PRESS OPERATOR IV</t>
  </si>
  <si>
    <t>SUPERVISOR I</t>
  </si>
  <si>
    <t>SHEETFED OFFSET PRESS OPERATOR V</t>
  </si>
  <si>
    <t>VOCATIONAL INSTRUCTOR</t>
  </si>
  <si>
    <t>WEBFED OFFSET PRESS OPERATOR I</t>
  </si>
  <si>
    <t>WAREHOUSE WORKER</t>
  </si>
  <si>
    <t>WEBFED OFFSET PRESS OPERATOR II</t>
  </si>
  <si>
    <t>WEBFED OFFSET PRESS OPERATOR III</t>
  </si>
  <si>
    <t>WEBFED OFFSET PRESS OPERATOR IV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</si>
</sst>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quot;$&quot;#,##0"/>
    <numFmt numFmtId="167" formatCode="_([$$-409]* #,##0.00_);_([$$-409]* \(#,##0.00\);_([$$-409]* &quot;-&quot;??_);_(@_)"/>
    <numFmt numFmtId="168" formatCode="&quot;$&quot;#,##0.0000"/>
    <numFmt numFmtId="169" formatCode="#,##0.000_);\(#,##0.000\)"/>
    <numFmt numFmtId="170" formatCode="&quot;$&quot;#,##0.00"/>
    <numFmt numFmtId="171" formatCode="_(&quot;$&quot;* #,##0.00_);_(&quot;$&quot;* \(#,##0.00\);_(&quot;$&quot;* &quot;-&quot;_);_(@_)"/>
    <numFmt numFmtId="172" formatCode="&quot;$&quot;#,##0.0000_);\(&quot;$&quot;#,##0.0000\)"/>
    <numFmt numFmtId="173" formatCode="_(&quot;$&quot;* #,##0.0000_);_(&quot;$&quot;* \(#,##0.0000\);_(&quot;$&quot;* &quot;-&quot;????_);_(@_)"/>
    <numFmt numFmtId="174" formatCode="0.000"/>
    <numFmt numFmtId="175" formatCode="_([$$-409]* #,##0_);_([$$-409]* \(#,##0\);_([$$-409]* &quot;-&quot;_);_(@_)"/>
    <numFmt numFmtId="176" formatCode="_(&quot;$&quot;* #,##0.000_);_(&quot;$&quot;* \(#,##0.000\);_(&quot;$&quot;* &quot;-&quot;???_);_(@_)"/>
    <numFmt numFmtId="177" formatCode="_([$$-409]* #,##0_);_([$$-409]* \(#,##0\);_([$$-409]* &quot;-&quot;??_);_(@_)"/>
    <numFmt numFmtId="178" formatCode="_(&quot;$&quot;* #,##0.000_);_(&quot;$&quot;* \(#,##0.000\);_(&quot;$&quot;* &quot;-&quot;??_);_(@_)"/>
    <numFmt numFmtId="179" formatCode="#,##0.0"/>
    <numFmt numFmtId="180" formatCode="_(* #,##0.0_);_(* \(#,##0.0\);_(* &quot;-&quot;??_);_(@_)"/>
    <numFmt numFmtId="181" formatCode="#,##0.0_);\(#,##0.0\)"/>
  </numFmts>
  <fonts count="39">
    <font>
      <sz val="11"/>
      <color theme="1"/>
      <name val="Aptos Narrow"/>
      <family val="2"/>
      <scheme val="minor"/>
    </font>
    <font>
      <sz val="11"/>
      <color theme="1"/>
      <name val="Aptos Narrow"/>
      <family val="2"/>
      <scheme val="minor"/>
    </font>
    <font>
      <b/>
      <sz val="11"/>
      <color theme="1"/>
      <name val="Aptos Narrow"/>
      <family val="2"/>
      <scheme val="minor"/>
    </font>
    <font>
      <sz val="10"/>
      <name val="Arial"/>
      <family val="2"/>
    </font>
    <font>
      <b/>
      <sz val="11"/>
      <name val="Arial"/>
      <family val="2"/>
    </font>
    <font>
      <sz val="11"/>
      <name val="Arial"/>
      <family val="2"/>
    </font>
    <font>
      <b/>
      <sz val="11"/>
      <color theme="1"/>
      <name val="Arial"/>
      <family val="2"/>
    </font>
    <font>
      <b/>
      <sz val="11"/>
      <name val="Aptos Narrow"/>
      <family val="2"/>
      <scheme val="minor"/>
    </font>
    <font>
      <sz val="11"/>
      <color indexed="8"/>
      <name val="Calibri"/>
      <family val="2"/>
    </font>
    <font>
      <sz val="11"/>
      <name val="Aptos Narrow"/>
      <family val="2"/>
      <scheme val="minor"/>
    </font>
    <font>
      <sz val="8"/>
      <name val="Aptos Narrow"/>
      <family val="2"/>
      <scheme val="minor"/>
    </font>
    <font>
      <b/>
      <sz val="12"/>
      <color theme="1"/>
      <name val="Aptos Narrow"/>
      <family val="2"/>
      <scheme val="minor"/>
    </font>
    <font>
      <sz val="12"/>
      <color theme="1"/>
      <name val="Aptos Narrow"/>
      <family val="2"/>
      <scheme val="minor"/>
    </font>
    <font>
      <b/>
      <sz val="18"/>
      <color theme="1"/>
      <name val="Aptos Narrow"/>
      <family val="2"/>
      <scheme val="minor"/>
    </font>
    <font>
      <sz val="11"/>
      <color theme="1"/>
      <name val="Arial"/>
      <family val="2"/>
    </font>
    <font>
      <sz val="10"/>
      <color rgb="FF000000"/>
      <name val="Times New Roman"/>
      <family val="1"/>
    </font>
    <font>
      <b/>
      <sz val="10"/>
      <color theme="1"/>
      <name val="Arial"/>
      <family val="2"/>
    </font>
    <font>
      <sz val="10"/>
      <color theme="1"/>
      <name val="Arial"/>
      <family val="2"/>
    </font>
    <font>
      <b/>
      <u/>
      <sz val="11"/>
      <color theme="1"/>
      <name val="Arial"/>
      <family val="2"/>
    </font>
    <font>
      <sz val="10"/>
      <color rgb="FFFF0000"/>
      <name val="Arial"/>
      <family val="2"/>
    </font>
    <font>
      <b/>
      <sz val="14"/>
      <color theme="1"/>
      <name val="Arial"/>
      <family val="2"/>
    </font>
    <font>
      <b/>
      <sz val="11"/>
      <color rgb="FF000000"/>
      <name val="Arial"/>
      <family val="2"/>
    </font>
    <font>
      <sz val="11"/>
      <color rgb="FF000000"/>
      <name val="Arial"/>
      <family val="2"/>
    </font>
    <font>
      <sz val="11"/>
      <color rgb="FFFF0000"/>
      <name val="Arial"/>
      <family val="2"/>
    </font>
    <font>
      <b/>
      <i/>
      <sz val="11"/>
      <color theme="1"/>
      <name val="Aptos Narrow"/>
      <family val="2"/>
      <scheme val="minor"/>
    </font>
    <font>
      <b/>
      <i/>
      <sz val="11"/>
      <name val="Arial"/>
      <family val="2"/>
    </font>
    <font>
      <b/>
      <sz val="11"/>
      <color rgb="FF000000"/>
      <name val="Aptos Narrow"/>
      <family val="2"/>
      <scheme val="minor"/>
    </font>
    <font>
      <b/>
      <sz val="14"/>
      <color rgb="FF000000"/>
      <name val="Aptos Narrow"/>
      <family val="2"/>
      <scheme val="minor"/>
    </font>
    <font>
      <b/>
      <i/>
      <sz val="11"/>
      <color theme="1"/>
      <name val="Arial"/>
      <family val="2"/>
    </font>
    <font>
      <b/>
      <sz val="14"/>
      <color rgb="FF000000"/>
      <name val="Arial"/>
      <family val="2"/>
    </font>
    <font>
      <b/>
      <i/>
      <sz val="11"/>
      <color rgb="FF000000"/>
      <name val="Arial"/>
      <family val="2"/>
    </font>
    <font>
      <b/>
      <sz val="11"/>
      <color rgb="FFFF0000"/>
      <name val="Arial"/>
      <family val="2"/>
    </font>
    <font>
      <b/>
      <i/>
      <sz val="11"/>
      <color rgb="FFFF0000"/>
      <name val="Arial"/>
      <family val="2"/>
    </font>
    <font>
      <b/>
      <sz val="18"/>
      <color rgb="FF000000"/>
      <name val="Aptos Narrow"/>
      <family val="2"/>
    </font>
    <font>
      <b/>
      <sz val="12"/>
      <color rgb="FF000000"/>
      <name val="Aptos Narrow"/>
      <family val="2"/>
    </font>
    <font>
      <b/>
      <sz val="11"/>
      <color rgb="FF000000"/>
      <name val="Aptos Narrow"/>
      <family val="2"/>
    </font>
    <font>
      <sz val="11"/>
      <color rgb="FF000000"/>
      <name val="Aptos Narrow"/>
      <family val="2"/>
    </font>
    <font>
      <b/>
      <sz val="11"/>
      <color rgb="FF000000"/>
      <name val="Aptos Narrow"/>
      <scheme val="minor"/>
    </font>
    <font>
      <b/>
      <i/>
      <sz val="11"/>
      <color rgb="FF000000"/>
      <name val="Aptos Narrow"/>
      <scheme val="minor"/>
    </font>
  </fonts>
  <fills count="14">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DAF2D0"/>
        <bgColor rgb="FF000000"/>
      </patternFill>
    </fill>
    <fill>
      <patternFill patternType="solid">
        <fgColor theme="0"/>
        <bgColor indexed="64"/>
      </patternFill>
    </fill>
    <fill>
      <patternFill patternType="solid">
        <fgColor theme="3" tint="0.749992370372631"/>
        <bgColor indexed="64"/>
      </patternFill>
    </fill>
    <fill>
      <patternFill patternType="solid">
        <fgColor theme="3" tint="0.89999084444715716"/>
        <bgColor indexed="64"/>
      </patternFill>
    </fill>
    <fill>
      <patternFill patternType="solid">
        <fgColor rgb="FF8ED973"/>
        <bgColor rgb="FF000000"/>
      </patternFill>
    </fill>
    <fill>
      <patternFill patternType="solid">
        <fgColor rgb="FFB5E6A2"/>
        <bgColor rgb="FF000000"/>
      </patternFill>
    </fill>
    <fill>
      <patternFill patternType="solid">
        <fgColor rgb="FFDAE9F8"/>
        <bgColor rgb="FF000000"/>
      </patternFill>
    </fill>
    <fill>
      <patternFill patternType="solid">
        <fgColor theme="2"/>
        <bgColor indexed="64"/>
      </patternFill>
    </fill>
  </fills>
  <borders count="153">
    <border>
      <left/>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rgb="FF000000"/>
      </left>
      <right style="medium">
        <color rgb="FF000000"/>
      </right>
      <top/>
      <bottom style="medium">
        <color rgb="FF000000"/>
      </bottom>
      <diagonal/>
    </border>
    <border>
      <left style="medium">
        <color rgb="FF000000"/>
      </left>
      <right/>
      <top style="medium">
        <color rgb="FF000000"/>
      </top>
      <bottom style="thin">
        <color indexed="64"/>
      </bottom>
      <diagonal/>
    </border>
    <border>
      <left style="medium">
        <color rgb="FF000000"/>
      </left>
      <right/>
      <top style="thin">
        <color indexed="64"/>
      </top>
      <bottom style="thin">
        <color indexed="64"/>
      </bottom>
      <diagonal/>
    </border>
    <border>
      <left style="medium">
        <color rgb="FF000000"/>
      </left>
      <right/>
      <top/>
      <bottom style="thin">
        <color indexed="64"/>
      </bottom>
      <diagonal/>
    </border>
    <border>
      <left style="medium">
        <color rgb="FF000000"/>
      </left>
      <right/>
      <top style="thin">
        <color indexed="64"/>
      </top>
      <bottom style="medium">
        <color rgb="FF000000"/>
      </bottom>
      <diagonal/>
    </border>
    <border>
      <left style="medium">
        <color rgb="FF000000"/>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style="thin">
        <color indexed="64"/>
      </top>
      <bottom style="thin">
        <color indexed="64"/>
      </bottom>
      <diagonal/>
    </border>
    <border>
      <left/>
      <right style="medium">
        <color rgb="FF000000"/>
      </right>
      <top/>
      <bottom style="thin">
        <color indexed="64"/>
      </bottom>
      <diagonal/>
    </border>
    <border>
      <left style="medium">
        <color rgb="FF000000"/>
      </left>
      <right/>
      <top style="medium">
        <color rgb="FF000000"/>
      </top>
      <bottom style="medium">
        <color rgb="FF000000"/>
      </bottom>
      <diagonal/>
    </border>
    <border>
      <left style="medium">
        <color rgb="FF000000"/>
      </left>
      <right/>
      <top style="medium">
        <color indexed="64"/>
      </top>
      <bottom style="medium">
        <color rgb="FF000000"/>
      </bottom>
      <diagonal/>
    </border>
    <border>
      <left style="medium">
        <color rgb="FF000000"/>
      </left>
      <right/>
      <top/>
      <bottom/>
      <diagonal/>
    </border>
    <border>
      <left/>
      <right style="thin">
        <color indexed="64"/>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thin">
        <color rgb="FF000000"/>
      </left>
      <right style="thin">
        <color rgb="FF000000"/>
      </right>
      <top/>
      <bottom style="thin">
        <color rgb="FF000000"/>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rgb="FF000000"/>
      </bottom>
      <diagonal/>
    </border>
    <border>
      <left style="medium">
        <color indexed="64"/>
      </left>
      <right style="medium">
        <color indexed="64"/>
      </right>
      <top/>
      <bottom style="thin">
        <color rgb="FF000000"/>
      </bottom>
      <diagonal/>
    </border>
    <border>
      <left/>
      <right/>
      <top/>
      <bottom style="thin">
        <color indexed="64"/>
      </bottom>
      <diagonal/>
    </border>
    <border>
      <left/>
      <right/>
      <top style="medium">
        <color indexed="64"/>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style="medium">
        <color rgb="FF000000"/>
      </bottom>
      <diagonal/>
    </border>
    <border>
      <left style="medium">
        <color rgb="FF000000"/>
      </left>
      <right style="medium">
        <color rgb="FF000000"/>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medium">
        <color indexed="64"/>
      </top>
      <bottom style="thin">
        <color indexed="64"/>
      </bottom>
      <diagonal/>
    </border>
    <border>
      <left style="thin">
        <color indexed="64"/>
      </left>
      <right style="thin">
        <color indexed="64"/>
      </right>
      <top/>
      <bottom style="medium">
        <color rgb="FF000000"/>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rgb="FF000000"/>
      </left>
      <right style="medium">
        <color rgb="FF000000"/>
      </right>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indexed="64"/>
      </left>
      <right style="medium">
        <color rgb="FF000000"/>
      </right>
      <top/>
      <bottom style="thin">
        <color indexed="64"/>
      </bottom>
      <diagonal/>
    </border>
    <border>
      <left/>
      <right style="medium">
        <color indexed="64"/>
      </right>
      <top style="medium">
        <color rgb="FF000000"/>
      </top>
      <bottom style="medium">
        <color rgb="FF000000"/>
      </bottom>
      <diagonal/>
    </border>
    <border>
      <left style="thin">
        <color indexed="64"/>
      </left>
      <right style="medium">
        <color rgb="FF000000"/>
      </right>
      <top/>
      <bottom style="medium">
        <color rgb="FF000000"/>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style="medium">
        <color indexed="64"/>
      </left>
      <right style="medium">
        <color indexed="64"/>
      </right>
      <top/>
      <bottom style="medium">
        <color rgb="FF000000"/>
      </bottom>
      <diagonal/>
    </border>
    <border>
      <left style="medium">
        <color rgb="FF000000"/>
      </left>
      <right/>
      <top style="medium">
        <color indexed="64"/>
      </top>
      <bottom style="medium">
        <color indexed="64"/>
      </bottom>
      <diagonal/>
    </border>
    <border>
      <left style="medium">
        <color indexed="64"/>
      </left>
      <right style="medium">
        <color indexed="64"/>
      </right>
      <top/>
      <bottom/>
      <diagonal/>
    </border>
    <border>
      <left/>
      <right style="medium">
        <color rgb="FF000000"/>
      </right>
      <top style="thin">
        <color rgb="FF000000"/>
      </top>
      <bottom style="thin">
        <color rgb="FF000000"/>
      </bottom>
      <diagonal/>
    </border>
    <border>
      <left/>
      <right style="thin">
        <color indexed="64"/>
      </right>
      <top/>
      <bottom style="medium">
        <color indexed="64"/>
      </bottom>
      <diagonal/>
    </border>
    <border>
      <left style="thin">
        <color indexed="64"/>
      </left>
      <right/>
      <top/>
      <bottom style="medium">
        <color indexed="64"/>
      </bottom>
      <diagonal/>
    </border>
    <border>
      <left style="thin">
        <color rgb="FF000000"/>
      </left>
      <right style="thin">
        <color rgb="FF000000"/>
      </right>
      <top style="thin">
        <color rgb="FF000000"/>
      </top>
      <bottom style="medium">
        <color indexed="64"/>
      </bottom>
      <diagonal/>
    </border>
    <border>
      <left style="thin">
        <color indexed="64"/>
      </left>
      <right style="thin">
        <color indexed="64"/>
      </right>
      <top style="medium">
        <color indexed="64"/>
      </top>
      <bottom/>
      <diagonal/>
    </border>
    <border>
      <left style="medium">
        <color rgb="FF000000"/>
      </left>
      <right style="thin">
        <color indexed="64"/>
      </right>
      <top style="medium">
        <color rgb="FF000000"/>
      </top>
      <bottom style="medium">
        <color rgb="FF000000"/>
      </bottom>
      <diagonal/>
    </border>
    <border>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indexed="64"/>
      </bottom>
      <diagonal/>
    </border>
    <border>
      <left style="medium">
        <color indexed="64"/>
      </left>
      <right style="medium">
        <color rgb="FF000000"/>
      </right>
      <top style="medium">
        <color rgb="FF000000"/>
      </top>
      <bottom style="medium">
        <color indexed="64"/>
      </bottom>
      <diagonal/>
    </border>
    <border>
      <left style="medium">
        <color indexed="64"/>
      </left>
      <right style="medium">
        <color rgb="FF000000"/>
      </right>
      <top style="thin">
        <color indexed="64"/>
      </top>
      <bottom style="medium">
        <color rgb="FF000000"/>
      </bottom>
      <diagonal/>
    </border>
    <border>
      <left style="medium">
        <color rgb="FF000000"/>
      </left>
      <right style="medium">
        <color rgb="FF000000"/>
      </right>
      <top style="medium">
        <color rgb="FF000000"/>
      </top>
      <bottom/>
      <diagonal/>
    </border>
    <border>
      <left style="medium">
        <color indexed="64"/>
      </left>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rgb="FF000000"/>
      </top>
      <bottom style="medium">
        <color rgb="FF000000"/>
      </bottom>
      <diagonal/>
    </border>
    <border>
      <left style="thin">
        <color indexed="64"/>
      </left>
      <right style="medium">
        <color indexed="64"/>
      </right>
      <top style="thin">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style="thin">
        <color indexed="64"/>
      </left>
      <right/>
      <top style="thin">
        <color indexed="64"/>
      </top>
      <bottom style="medium">
        <color rgb="FF000000"/>
      </bottom>
      <diagonal/>
    </border>
    <border>
      <left/>
      <right style="thin">
        <color indexed="64"/>
      </right>
      <top style="medium">
        <color rgb="FF000000"/>
      </top>
      <bottom/>
      <diagonal/>
    </border>
    <border>
      <left/>
      <right style="thin">
        <color indexed="64"/>
      </right>
      <top style="medium">
        <color rgb="FF000000"/>
      </top>
      <bottom style="thin">
        <color indexed="64"/>
      </bottom>
      <diagonal/>
    </border>
    <border>
      <left/>
      <right style="thin">
        <color indexed="64"/>
      </right>
      <top style="thin">
        <color indexed="64"/>
      </top>
      <bottom style="medium">
        <color rgb="FF000000"/>
      </bottom>
      <diagonal/>
    </border>
    <border>
      <left style="medium">
        <color rgb="FF000000"/>
      </left>
      <right style="thin">
        <color indexed="64"/>
      </right>
      <top/>
      <bottom style="thin">
        <color indexed="64"/>
      </bottom>
      <diagonal/>
    </border>
    <border>
      <left style="thin">
        <color rgb="FF000000"/>
      </left>
      <right style="thin">
        <color rgb="FF000000"/>
      </right>
      <top style="medium">
        <color rgb="FF000000"/>
      </top>
      <bottom style="medium">
        <color rgb="FF000000"/>
      </bottom>
      <diagonal/>
    </border>
  </borders>
  <cellStyleXfs count="10">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0" fontId="8" fillId="0" borderId="0"/>
    <xf numFmtId="0" fontId="3" fillId="0" borderId="0"/>
    <xf numFmtId="0" fontId="1" fillId="0" borderId="0"/>
    <xf numFmtId="0" fontId="15" fillId="0" borderId="0"/>
  </cellStyleXfs>
  <cellXfs count="693">
    <xf numFmtId="0" fontId="0" fillId="0" borderId="0" xfId="0"/>
    <xf numFmtId="0" fontId="0" fillId="3" borderId="0" xfId="0" applyFill="1"/>
    <xf numFmtId="0" fontId="0" fillId="2" borderId="14" xfId="0" applyFill="1" applyBorder="1"/>
    <xf numFmtId="0" fontId="0" fillId="2" borderId="15" xfId="0" applyFill="1" applyBorder="1"/>
    <xf numFmtId="0" fontId="9" fillId="2" borderId="14" xfId="0" applyFont="1" applyFill="1" applyBorder="1"/>
    <xf numFmtId="0" fontId="9" fillId="2" borderId="20" xfId="0" applyFont="1" applyFill="1" applyBorder="1"/>
    <xf numFmtId="3" fontId="0" fillId="2" borderId="15" xfId="0" applyNumberFormat="1" applyFill="1" applyBorder="1"/>
    <xf numFmtId="0" fontId="12" fillId="3" borderId="17" xfId="0" applyFont="1" applyFill="1" applyBorder="1" applyAlignment="1">
      <alignment vertical="center"/>
    </xf>
    <xf numFmtId="166" fontId="0" fillId="3" borderId="0" xfId="0" applyNumberFormat="1" applyFill="1"/>
    <xf numFmtId="166" fontId="0" fillId="0" borderId="0" xfId="0" applyNumberFormat="1"/>
    <xf numFmtId="164" fontId="4" fillId="3" borderId="0" xfId="4" applyNumberFormat="1" applyFont="1" applyFill="1" applyAlignment="1">
      <alignment horizontal="left"/>
    </xf>
    <xf numFmtId="9" fontId="5" fillId="3" borderId="0" xfId="3" applyFont="1" applyFill="1"/>
    <xf numFmtId="170" fontId="0" fillId="3" borderId="0" xfId="0" applyNumberFormat="1" applyFill="1"/>
    <xf numFmtId="170" fontId="0" fillId="0" borderId="0" xfId="0" applyNumberFormat="1"/>
    <xf numFmtId="43" fontId="0" fillId="0" borderId="0" xfId="0" applyNumberFormat="1"/>
    <xf numFmtId="0" fontId="7" fillId="5" borderId="8" xfId="6" applyFont="1" applyFill="1" applyBorder="1" applyAlignment="1">
      <alignment vertical="center" wrapText="1"/>
    </xf>
    <xf numFmtId="0" fontId="2" fillId="2" borderId="52" xfId="0" applyFont="1" applyFill="1" applyBorder="1" applyAlignment="1">
      <alignment horizontal="center" vertical="center"/>
    </xf>
    <xf numFmtId="164" fontId="0" fillId="3" borderId="0" xfId="0" applyNumberFormat="1" applyFill="1"/>
    <xf numFmtId="43" fontId="0" fillId="3" borderId="0" xfId="0" applyNumberFormat="1" applyFill="1"/>
    <xf numFmtId="166" fontId="2" fillId="5" borderId="59" xfId="0" applyNumberFormat="1" applyFont="1" applyFill="1" applyBorder="1" applyAlignment="1">
      <alignment horizontal="center" vertical="center"/>
    </xf>
    <xf numFmtId="0" fontId="17" fillId="3" borderId="0" xfId="0" applyFont="1" applyFill="1"/>
    <xf numFmtId="0" fontId="0" fillId="7" borderId="14" xfId="0" applyFill="1" applyBorder="1"/>
    <xf numFmtId="3" fontId="0" fillId="7" borderId="14" xfId="0" applyNumberFormat="1" applyFill="1" applyBorder="1"/>
    <xf numFmtId="0" fontId="1" fillId="7" borderId="14" xfId="0" applyFont="1" applyFill="1" applyBorder="1"/>
    <xf numFmtId="0" fontId="9" fillId="7" borderId="14" xfId="0" applyFont="1" applyFill="1" applyBorder="1"/>
    <xf numFmtId="0" fontId="9" fillId="7" borderId="20" xfId="0" applyFont="1" applyFill="1" applyBorder="1"/>
    <xf numFmtId="0" fontId="0" fillId="7" borderId="20" xfId="0" applyFill="1" applyBorder="1"/>
    <xf numFmtId="0" fontId="2" fillId="5" borderId="12" xfId="0" applyFont="1" applyFill="1" applyBorder="1" applyAlignment="1">
      <alignment horizontal="center" vertical="center" wrapText="1"/>
    </xf>
    <xf numFmtId="164" fontId="5" fillId="3" borderId="0" xfId="4" applyNumberFormat="1" applyFont="1" applyFill="1"/>
    <xf numFmtId="43" fontId="4" fillId="3" borderId="0" xfId="4" applyFont="1" applyFill="1" applyAlignment="1">
      <alignment horizontal="left"/>
    </xf>
    <xf numFmtId="164" fontId="14" fillId="3" borderId="0" xfId="4" applyNumberFormat="1" applyFont="1" applyFill="1"/>
    <xf numFmtId="0" fontId="0" fillId="3" borderId="0" xfId="0" applyFill="1" applyAlignment="1">
      <alignment wrapText="1"/>
    </xf>
    <xf numFmtId="43" fontId="4" fillId="5" borderId="12" xfId="4" applyFont="1" applyFill="1" applyBorder="1" applyAlignment="1">
      <alignment horizontal="right"/>
    </xf>
    <xf numFmtId="43" fontId="4" fillId="5" borderId="10" xfId="4" applyFont="1" applyFill="1" applyBorder="1" applyAlignment="1">
      <alignment horizontal="right"/>
    </xf>
    <xf numFmtId="165" fontId="4" fillId="5" borderId="7" xfId="2" applyNumberFormat="1" applyFont="1" applyFill="1" applyBorder="1" applyAlignment="1">
      <alignment horizontal="right"/>
    </xf>
    <xf numFmtId="43" fontId="4" fillId="5" borderId="49" xfId="4" applyFont="1" applyFill="1" applyBorder="1" applyAlignment="1">
      <alignment horizontal="right"/>
    </xf>
    <xf numFmtId="38" fontId="4" fillId="2" borderId="12" xfId="4" applyNumberFormat="1" applyFont="1" applyFill="1" applyBorder="1" applyAlignment="1">
      <alignment horizontal="center"/>
    </xf>
    <xf numFmtId="6" fontId="4" fillId="2" borderId="12" xfId="2" applyNumberFormat="1" applyFont="1" applyFill="1" applyBorder="1" applyAlignment="1">
      <alignment horizontal="center"/>
    </xf>
    <xf numFmtId="6" fontId="4" fillId="2" borderId="3" xfId="2" applyNumberFormat="1" applyFont="1" applyFill="1" applyBorder="1" applyAlignment="1">
      <alignment horizontal="center"/>
    </xf>
    <xf numFmtId="6" fontId="4" fillId="2" borderId="10" xfId="2" applyNumberFormat="1" applyFont="1" applyFill="1" applyBorder="1" applyAlignment="1">
      <alignment horizontal="center"/>
    </xf>
    <xf numFmtId="0" fontId="6" fillId="2" borderId="24" xfId="0" applyFont="1" applyFill="1" applyBorder="1" applyAlignment="1">
      <alignment horizontal="center" vertical="center"/>
    </xf>
    <xf numFmtId="0" fontId="4" fillId="2" borderId="2" xfId="6" applyFont="1" applyFill="1" applyBorder="1" applyAlignment="1">
      <alignment horizontal="center" vertical="center" wrapText="1"/>
    </xf>
    <xf numFmtId="0" fontId="14" fillId="0" borderId="0" xfId="0" applyFont="1"/>
    <xf numFmtId="43" fontId="4" fillId="2" borderId="12" xfId="4" applyFont="1" applyFill="1" applyBorder="1" applyAlignment="1">
      <alignment horizontal="center" vertical="center" wrapText="1"/>
    </xf>
    <xf numFmtId="0" fontId="6" fillId="3" borderId="0" xfId="0" applyFont="1" applyFill="1"/>
    <xf numFmtId="0" fontId="14" fillId="3" borderId="0" xfId="0" applyFont="1" applyFill="1"/>
    <xf numFmtId="0" fontId="6" fillId="2" borderId="27"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6" fillId="7" borderId="70" xfId="0" applyFont="1" applyFill="1" applyBorder="1" applyAlignment="1" applyProtection="1">
      <alignment horizontal="center" vertical="center" wrapText="1"/>
      <protection locked="0"/>
    </xf>
    <xf numFmtId="37" fontId="6" fillId="0" borderId="71" xfId="1" applyNumberFormat="1" applyFont="1" applyFill="1" applyBorder="1" applyAlignment="1" applyProtection="1">
      <alignment horizontal="center" vertical="center" wrapText="1"/>
      <protection locked="0"/>
    </xf>
    <xf numFmtId="37" fontId="6" fillId="0" borderId="72" xfId="1" applyNumberFormat="1" applyFont="1" applyFill="1" applyBorder="1" applyAlignment="1" applyProtection="1">
      <alignment horizontal="center" vertical="center" wrapText="1"/>
      <protection locked="0"/>
    </xf>
    <xf numFmtId="0" fontId="6" fillId="5" borderId="8" xfId="0" applyFont="1" applyFill="1" applyBorder="1" applyAlignment="1">
      <alignment horizontal="center" vertical="center" wrapText="1"/>
    </xf>
    <xf numFmtId="0" fontId="18" fillId="3" borderId="0" xfId="0" applyFont="1" applyFill="1"/>
    <xf numFmtId="10" fontId="6" fillId="3" borderId="0" xfId="0" applyNumberFormat="1" applyFont="1" applyFill="1" applyAlignment="1">
      <alignment horizontal="center" vertical="center" wrapText="1"/>
    </xf>
    <xf numFmtId="0" fontId="6" fillId="5" borderId="12" xfId="0" applyFont="1" applyFill="1" applyBorder="1" applyAlignment="1">
      <alignment horizontal="center" vertical="center" wrapText="1"/>
    </xf>
    <xf numFmtId="0" fontId="14" fillId="2" borderId="43" xfId="0" applyFont="1" applyFill="1" applyBorder="1" applyAlignment="1">
      <alignment wrapText="1"/>
    </xf>
    <xf numFmtId="0" fontId="14" fillId="2" borderId="47" xfId="0" applyFont="1" applyFill="1" applyBorder="1" applyAlignment="1">
      <alignment wrapText="1"/>
    </xf>
    <xf numFmtId="0" fontId="14" fillId="2" borderId="10" xfId="0" applyFont="1" applyFill="1" applyBorder="1" applyAlignment="1">
      <alignment wrapText="1"/>
    </xf>
    <xf numFmtId="0" fontId="14" fillId="3" borderId="0" xfId="0" applyFont="1" applyFill="1" applyAlignment="1">
      <alignment horizontal="center" vertical="center"/>
    </xf>
    <xf numFmtId="0" fontId="17" fillId="3" borderId="0" xfId="0" applyFont="1" applyFill="1" applyAlignment="1">
      <alignment horizontal="center" vertical="center"/>
    </xf>
    <xf numFmtId="0" fontId="6" fillId="5" borderId="6" xfId="0" applyFont="1" applyFill="1" applyBorder="1" applyAlignment="1">
      <alignment horizontal="center" vertical="center" wrapText="1"/>
    </xf>
    <xf numFmtId="0" fontId="6" fillId="2" borderId="40" xfId="0" applyFont="1" applyFill="1" applyBorder="1" applyAlignment="1">
      <alignment horizontal="center" vertical="center" wrapText="1"/>
    </xf>
    <xf numFmtId="0" fontId="4" fillId="5" borderId="5" xfId="0" applyFont="1" applyFill="1" applyBorder="1" applyAlignment="1">
      <alignment horizontal="center" vertical="center"/>
    </xf>
    <xf numFmtId="0" fontId="6" fillId="2" borderId="35" xfId="0" applyFont="1" applyFill="1" applyBorder="1" applyAlignment="1">
      <alignment horizontal="center" vertical="center" wrapText="1"/>
    </xf>
    <xf numFmtId="0" fontId="6" fillId="2" borderId="36" xfId="0" applyFont="1" applyFill="1" applyBorder="1" applyAlignment="1">
      <alignment horizontal="center" vertical="center" wrapText="1"/>
    </xf>
    <xf numFmtId="166" fontId="14" fillId="3" borderId="0" xfId="0" applyNumberFormat="1" applyFont="1" applyFill="1"/>
    <xf numFmtId="170" fontId="14" fillId="3" borderId="0" xfId="0" applyNumberFormat="1" applyFont="1" applyFill="1"/>
    <xf numFmtId="171" fontId="6" fillId="2" borderId="25" xfId="2" applyNumberFormat="1" applyFont="1" applyFill="1" applyBorder="1" applyAlignment="1" applyProtection="1">
      <alignment vertical="center"/>
    </xf>
    <xf numFmtId="42" fontId="14" fillId="3" borderId="0" xfId="2" applyNumberFormat="1" applyFont="1" applyFill="1" applyBorder="1" applyAlignment="1" applyProtection="1">
      <alignment vertical="center"/>
    </xf>
    <xf numFmtId="164" fontId="6" fillId="2" borderId="27" xfId="1" applyNumberFormat="1" applyFont="1" applyFill="1" applyBorder="1" applyAlignment="1" applyProtection="1">
      <alignment horizontal="center" vertical="center" wrapText="1"/>
    </xf>
    <xf numFmtId="166" fontId="6" fillId="2" borderId="28" xfId="0" applyNumberFormat="1" applyFont="1" applyFill="1" applyBorder="1" applyAlignment="1">
      <alignment horizontal="center" vertical="center" wrapText="1"/>
    </xf>
    <xf numFmtId="170" fontId="6" fillId="2" borderId="28" xfId="0" applyNumberFormat="1" applyFont="1" applyFill="1" applyBorder="1" applyAlignment="1">
      <alignment horizontal="center" vertical="center" wrapText="1"/>
    </xf>
    <xf numFmtId="0" fontId="14" fillId="3" borderId="10" xfId="0" applyFont="1" applyFill="1" applyBorder="1"/>
    <xf numFmtId="0" fontId="14" fillId="3" borderId="11" xfId="0" applyFont="1" applyFill="1" applyBorder="1"/>
    <xf numFmtId="0" fontId="6" fillId="2" borderId="7" xfId="0" applyFont="1" applyFill="1" applyBorder="1" applyAlignment="1">
      <alignment horizontal="center" vertical="center"/>
    </xf>
    <xf numFmtId="42" fontId="14" fillId="3" borderId="0" xfId="2" applyNumberFormat="1" applyFont="1" applyFill="1" applyBorder="1" applyProtection="1"/>
    <xf numFmtId="0" fontId="6" fillId="2" borderId="12" xfId="0" applyFont="1" applyFill="1" applyBorder="1" applyAlignment="1">
      <alignment horizontal="center" vertical="center"/>
    </xf>
    <xf numFmtId="0" fontId="14" fillId="0" borderId="29" xfId="0" applyFont="1" applyBorder="1" applyAlignment="1" applyProtection="1">
      <alignment horizontal="center" vertical="center"/>
      <protection locked="0"/>
    </xf>
    <xf numFmtId="0" fontId="14" fillId="0" borderId="0" xfId="0" applyFont="1" applyAlignment="1">
      <alignment horizontal="center" vertical="center"/>
    </xf>
    <xf numFmtId="168" fontId="6" fillId="2" borderId="12" xfId="2" applyNumberFormat="1" applyFont="1" applyFill="1" applyBorder="1" applyAlignment="1" applyProtection="1">
      <alignment horizontal="center"/>
    </xf>
    <xf numFmtId="168" fontId="6" fillId="2" borderId="12" xfId="2" applyNumberFormat="1" applyFont="1" applyFill="1" applyBorder="1" applyAlignment="1" applyProtection="1">
      <alignment horizontal="center" vertical="center"/>
    </xf>
    <xf numFmtId="37" fontId="14" fillId="2" borderId="15" xfId="1" applyNumberFormat="1" applyFont="1" applyFill="1" applyBorder="1" applyAlignment="1" applyProtection="1">
      <alignment horizontal="center"/>
    </xf>
    <xf numFmtId="37" fontId="14" fillId="2" borderId="29" xfId="1" applyNumberFormat="1" applyFont="1" applyFill="1" applyBorder="1" applyAlignment="1" applyProtection="1">
      <alignment horizontal="center"/>
    </xf>
    <xf numFmtId="3" fontId="21" fillId="6" borderId="75" xfId="0" applyNumberFormat="1" applyFont="1" applyFill="1" applyBorder="1" applyAlignment="1">
      <alignment horizontal="center"/>
    </xf>
    <xf numFmtId="37" fontId="6" fillId="2" borderId="76" xfId="1" applyNumberFormat="1" applyFont="1" applyFill="1" applyBorder="1" applyAlignment="1" applyProtection="1">
      <alignment horizontal="center"/>
    </xf>
    <xf numFmtId="164" fontId="6" fillId="2" borderId="76" xfId="1" applyNumberFormat="1" applyFont="1" applyFill="1" applyBorder="1" applyAlignment="1" applyProtection="1">
      <alignment horizontal="center"/>
    </xf>
    <xf numFmtId="0" fontId="14" fillId="0" borderId="18" xfId="0" applyFont="1" applyBorder="1" applyAlignment="1" applyProtection="1">
      <alignment horizontal="center" vertical="center"/>
      <protection locked="0"/>
    </xf>
    <xf numFmtId="0" fontId="14" fillId="0" borderId="41" xfId="0" applyFont="1" applyBorder="1" applyAlignment="1" applyProtection="1">
      <alignment horizontal="center" vertical="center"/>
      <protection locked="0"/>
    </xf>
    <xf numFmtId="169" fontId="14" fillId="0" borderId="15" xfId="1" applyNumberFormat="1" applyFont="1" applyBorder="1" applyAlignment="1" applyProtection="1">
      <alignment horizontal="center" vertical="center"/>
      <protection locked="0"/>
    </xf>
    <xf numFmtId="164" fontId="14" fillId="0" borderId="15" xfId="1" applyNumberFormat="1" applyFont="1" applyBorder="1" applyAlignment="1" applyProtection="1">
      <alignment horizontal="center" vertical="center"/>
      <protection locked="0"/>
    </xf>
    <xf numFmtId="0" fontId="14" fillId="0" borderId="13" xfId="0" applyFont="1" applyBorder="1" applyAlignment="1" applyProtection="1">
      <alignment horizontal="center" vertical="center"/>
      <protection locked="0"/>
    </xf>
    <xf numFmtId="0" fontId="14" fillId="0" borderId="42" xfId="0" applyFont="1" applyBorder="1" applyAlignment="1" applyProtection="1">
      <alignment horizontal="center" vertical="center"/>
      <protection locked="0"/>
    </xf>
    <xf numFmtId="169" fontId="14" fillId="0" borderId="14" xfId="1" applyNumberFormat="1" applyFont="1" applyBorder="1" applyAlignment="1" applyProtection="1">
      <alignment horizontal="center" vertical="center"/>
      <protection locked="0"/>
    </xf>
    <xf numFmtId="0" fontId="14" fillId="0" borderId="19" xfId="0" applyFont="1" applyBorder="1" applyAlignment="1" applyProtection="1">
      <alignment horizontal="center" vertical="center"/>
      <protection locked="0"/>
    </xf>
    <xf numFmtId="169" fontId="14" fillId="0" borderId="14" xfId="1" applyNumberFormat="1" applyFont="1" applyBorder="1" applyAlignment="1" applyProtection="1">
      <alignment horizontal="center"/>
      <protection locked="0"/>
    </xf>
    <xf numFmtId="0" fontId="14" fillId="0" borderId="45" xfId="0" applyFont="1" applyBorder="1" applyAlignment="1" applyProtection="1">
      <alignment horizontal="center"/>
      <protection locked="0"/>
    </xf>
    <xf numFmtId="164" fontId="14" fillId="0" borderId="14" xfId="1" applyNumberFormat="1" applyFont="1" applyBorder="1" applyAlignment="1" applyProtection="1">
      <alignment horizontal="center" vertical="center"/>
      <protection locked="0"/>
    </xf>
    <xf numFmtId="0" fontId="21" fillId="6" borderId="27" xfId="0" applyFont="1" applyFill="1" applyBorder="1" applyAlignment="1">
      <alignment horizontal="center"/>
    </xf>
    <xf numFmtId="0" fontId="22" fillId="6" borderId="25" xfId="0" applyFont="1" applyFill="1" applyBorder="1" applyAlignment="1">
      <alignment horizontal="center"/>
    </xf>
    <xf numFmtId="164" fontId="14" fillId="0" borderId="14" xfId="1" applyNumberFormat="1" applyFont="1" applyBorder="1" applyAlignment="1" applyProtection="1">
      <alignment horizontal="center"/>
      <protection locked="0"/>
    </xf>
    <xf numFmtId="0" fontId="14" fillId="0" borderId="33" xfId="0" applyFont="1" applyBorder="1" applyAlignment="1" applyProtection="1">
      <alignment horizontal="center"/>
      <protection locked="0"/>
    </xf>
    <xf numFmtId="0" fontId="21" fillId="6" borderId="75" xfId="0" applyFont="1" applyFill="1" applyBorder="1" applyAlignment="1">
      <alignment horizontal="center"/>
    </xf>
    <xf numFmtId="0" fontId="22" fillId="6" borderId="30" xfId="0" applyFont="1" applyFill="1" applyBorder="1" applyAlignment="1">
      <alignment horizontal="center"/>
    </xf>
    <xf numFmtId="0" fontId="6" fillId="2" borderId="76" xfId="0" applyFont="1" applyFill="1" applyBorder="1" applyAlignment="1">
      <alignment horizontal="center"/>
    </xf>
    <xf numFmtId="0" fontId="14" fillId="2" borderId="34" xfId="0" applyFont="1" applyFill="1" applyBorder="1" applyAlignment="1">
      <alignment horizontal="center"/>
    </xf>
    <xf numFmtId="0" fontId="6" fillId="2" borderId="74" xfId="0" applyFont="1" applyFill="1" applyBorder="1" applyAlignment="1">
      <alignment horizontal="left" vertical="center"/>
    </xf>
    <xf numFmtId="164" fontId="6" fillId="2" borderId="32" xfId="1" applyNumberFormat="1" applyFont="1" applyFill="1" applyBorder="1" applyAlignment="1" applyProtection="1">
      <alignment horizontal="left"/>
    </xf>
    <xf numFmtId="166" fontId="6" fillId="2" borderId="12" xfId="2" applyNumberFormat="1" applyFont="1" applyFill="1" applyBorder="1" applyAlignment="1" applyProtection="1">
      <alignment horizontal="center"/>
    </xf>
    <xf numFmtId="167" fontId="14" fillId="2" borderId="33" xfId="0" applyNumberFormat="1" applyFont="1" applyFill="1" applyBorder="1" applyAlignment="1">
      <alignment horizontal="center" vertical="center"/>
    </xf>
    <xf numFmtId="37" fontId="14" fillId="2" borderId="33" xfId="0" applyNumberFormat="1" applyFont="1" applyFill="1" applyBorder="1" applyAlignment="1">
      <alignment horizontal="center" vertical="center"/>
    </xf>
    <xf numFmtId="0" fontId="6" fillId="2" borderId="6" xfId="0" applyFont="1" applyFill="1" applyBorder="1" applyAlignment="1">
      <alignment horizontal="center" vertical="center"/>
    </xf>
    <xf numFmtId="0" fontId="6" fillId="2" borderId="37" xfId="0" applyFont="1" applyFill="1" applyBorder="1" applyAlignment="1">
      <alignment horizontal="center" vertical="center" wrapText="1"/>
    </xf>
    <xf numFmtId="43" fontId="6" fillId="2" borderId="37" xfId="0" applyNumberFormat="1" applyFont="1" applyFill="1" applyBorder="1" applyAlignment="1">
      <alignment horizontal="center" vertical="center" wrapText="1"/>
    </xf>
    <xf numFmtId="0" fontId="6" fillId="2" borderId="78" xfId="0" applyFont="1" applyFill="1" applyBorder="1" applyAlignment="1">
      <alignment horizontal="center" vertical="center" wrapText="1"/>
    </xf>
    <xf numFmtId="0" fontId="14" fillId="7" borderId="48" xfId="0" applyFont="1" applyFill="1" applyBorder="1" applyAlignment="1">
      <alignment horizontal="center" vertical="center"/>
    </xf>
    <xf numFmtId="1" fontId="14" fillId="2" borderId="39" xfId="0" applyNumberFormat="1" applyFont="1" applyFill="1" applyBorder="1" applyAlignment="1">
      <alignment horizontal="center" vertical="center"/>
    </xf>
    <xf numFmtId="0" fontId="14" fillId="7" borderId="63" xfId="0" applyFont="1" applyFill="1" applyBorder="1" applyAlignment="1">
      <alignment horizontal="center" vertical="center"/>
    </xf>
    <xf numFmtId="167" fontId="14" fillId="2" borderId="77" xfId="0" applyNumberFormat="1" applyFont="1" applyFill="1" applyBorder="1" applyAlignment="1">
      <alignment horizontal="center" vertical="center"/>
    </xf>
    <xf numFmtId="0" fontId="16" fillId="2" borderId="66" xfId="0" applyFont="1" applyFill="1" applyBorder="1" applyAlignment="1">
      <alignment horizontal="center" vertical="center" wrapText="1"/>
    </xf>
    <xf numFmtId="0" fontId="16" fillId="2" borderId="67" xfId="0" applyFont="1" applyFill="1" applyBorder="1" applyAlignment="1">
      <alignment horizontal="center" vertical="center" wrapText="1"/>
    </xf>
    <xf numFmtId="172" fontId="6" fillId="2" borderId="25" xfId="2" applyNumberFormat="1" applyFont="1" applyFill="1" applyBorder="1" applyAlignment="1" applyProtection="1">
      <alignment horizontal="center" vertical="center"/>
    </xf>
    <xf numFmtId="37" fontId="0" fillId="2" borderId="52" xfId="0" applyNumberFormat="1" applyFill="1" applyBorder="1" applyAlignment="1">
      <alignment horizontal="center" vertical="center"/>
    </xf>
    <xf numFmtId="37" fontId="2" fillId="5" borderId="60" xfId="0" applyNumberFormat="1" applyFont="1" applyFill="1" applyBorder="1" applyAlignment="1">
      <alignment horizontal="center" vertical="center"/>
    </xf>
    <xf numFmtId="0" fontId="2" fillId="5" borderId="61" xfId="0" applyFont="1" applyFill="1" applyBorder="1" applyAlignment="1">
      <alignment horizontal="center" vertical="center" wrapText="1"/>
    </xf>
    <xf numFmtId="0" fontId="2" fillId="2" borderId="56" xfId="0" applyFont="1" applyFill="1" applyBorder="1" applyAlignment="1">
      <alignment horizontal="center" vertical="center" wrapText="1"/>
    </xf>
    <xf numFmtId="0" fontId="2" fillId="2" borderId="55" xfId="0" applyFont="1" applyFill="1" applyBorder="1" applyAlignment="1">
      <alignment horizontal="center" vertical="center" wrapText="1"/>
    </xf>
    <xf numFmtId="0" fontId="2" fillId="2" borderId="55" xfId="0" applyFont="1" applyFill="1" applyBorder="1" applyAlignment="1">
      <alignment horizontal="center" vertical="center"/>
    </xf>
    <xf numFmtId="164" fontId="2" fillId="2" borderId="55" xfId="0" applyNumberFormat="1" applyFont="1" applyFill="1" applyBorder="1" applyAlignment="1">
      <alignment horizontal="center" vertical="center" wrapText="1"/>
    </xf>
    <xf numFmtId="166" fontId="2" fillId="2" borderId="55" xfId="0" applyNumberFormat="1" applyFont="1" applyFill="1" applyBorder="1" applyAlignment="1">
      <alignment horizontal="center" vertical="center"/>
    </xf>
    <xf numFmtId="166" fontId="2" fillId="2" borderId="59" xfId="0" applyNumberFormat="1" applyFont="1" applyFill="1" applyBorder="1" applyAlignment="1">
      <alignment horizontal="center" vertical="center" wrapText="1"/>
    </xf>
    <xf numFmtId="37" fontId="0" fillId="2" borderId="58" xfId="0" applyNumberFormat="1" applyFill="1" applyBorder="1" applyAlignment="1">
      <alignment horizontal="right" vertical="center" indent="1"/>
    </xf>
    <xf numFmtId="37" fontId="0" fillId="2" borderId="57" xfId="0" applyNumberFormat="1" applyFill="1" applyBorder="1" applyAlignment="1">
      <alignment horizontal="right" vertical="center" indent="1"/>
    </xf>
    <xf numFmtId="41" fontId="0" fillId="2" borderId="58" xfId="0" applyNumberFormat="1" applyFill="1" applyBorder="1" applyAlignment="1">
      <alignment horizontal="right" vertical="center" indent="1"/>
    </xf>
    <xf numFmtId="41" fontId="0" fillId="2" borderId="83" xfId="0" applyNumberFormat="1" applyFill="1" applyBorder="1" applyAlignment="1">
      <alignment horizontal="right" vertical="center" indent="1"/>
    </xf>
    <xf numFmtId="41" fontId="0" fillId="2" borderId="52" xfId="0" applyNumberFormat="1" applyFill="1" applyBorder="1" applyAlignment="1">
      <alignment horizontal="center" vertical="center"/>
    </xf>
    <xf numFmtId="0" fontId="2" fillId="2" borderId="12" xfId="0" applyFont="1" applyFill="1" applyBorder="1"/>
    <xf numFmtId="42" fontId="2" fillId="2" borderId="12" xfId="0" applyNumberFormat="1" applyFont="1" applyFill="1" applyBorder="1" applyAlignment="1">
      <alignment horizontal="right"/>
    </xf>
    <xf numFmtId="0" fontId="2" fillId="5" borderId="54" xfId="0" applyFont="1" applyFill="1" applyBorder="1" applyAlignment="1">
      <alignment horizontal="center" vertical="center" wrapText="1"/>
    </xf>
    <xf numFmtId="0" fontId="2" fillId="5" borderId="22" xfId="0" applyFont="1" applyFill="1" applyBorder="1"/>
    <xf numFmtId="37" fontId="0" fillId="2" borderId="83" xfId="0" applyNumberFormat="1" applyFill="1" applyBorder="1" applyAlignment="1">
      <alignment horizontal="right" vertical="center" indent="1"/>
    </xf>
    <xf numFmtId="37" fontId="0" fillId="2" borderId="0" xfId="0" applyNumberFormat="1" applyFill="1" applyAlignment="1">
      <alignment horizontal="right" vertical="center" indent="1"/>
    </xf>
    <xf numFmtId="10" fontId="6" fillId="5" borderId="12" xfId="0" applyNumberFormat="1" applyFont="1" applyFill="1" applyBorder="1" applyAlignment="1">
      <alignment horizontal="center" vertical="center" wrapText="1"/>
    </xf>
    <xf numFmtId="42" fontId="0" fillId="2" borderId="59" xfId="0" applyNumberFormat="1" applyFill="1" applyBorder="1" applyAlignment="1">
      <alignment horizontal="right" vertical="center"/>
    </xf>
    <xf numFmtId="42" fontId="2" fillId="5" borderId="59" xfId="0" applyNumberFormat="1" applyFont="1" applyFill="1" applyBorder="1" applyAlignment="1">
      <alignment horizontal="right" vertical="center"/>
    </xf>
    <xf numFmtId="42" fontId="14" fillId="2" borderId="70" xfId="2" applyNumberFormat="1" applyFont="1" applyFill="1" applyBorder="1" applyAlignment="1" applyProtection="1">
      <alignment horizontal="center" vertical="center"/>
    </xf>
    <xf numFmtId="42" fontId="14" fillId="2" borderId="71" xfId="2" applyNumberFormat="1" applyFont="1" applyFill="1" applyBorder="1" applyAlignment="1" applyProtection="1">
      <alignment horizontal="center" vertical="center"/>
    </xf>
    <xf numFmtId="42" fontId="14" fillId="2" borderId="72" xfId="2" applyNumberFormat="1" applyFont="1" applyFill="1" applyBorder="1" applyAlignment="1" applyProtection="1">
      <alignment horizontal="center" vertical="center"/>
    </xf>
    <xf numFmtId="42" fontId="6" fillId="5" borderId="12" xfId="2" applyNumberFormat="1" applyFont="1" applyFill="1" applyBorder="1" applyAlignment="1" applyProtection="1">
      <alignment horizontal="center" vertical="center"/>
    </xf>
    <xf numFmtId="44" fontId="17" fillId="2" borderId="70" xfId="2" applyFont="1" applyFill="1" applyBorder="1" applyAlignment="1">
      <alignment horizontal="center" vertical="center"/>
    </xf>
    <xf numFmtId="44" fontId="17" fillId="2" borderId="71" xfId="2" applyFont="1" applyFill="1" applyBorder="1" applyAlignment="1">
      <alignment horizontal="center" vertical="center"/>
    </xf>
    <xf numFmtId="44" fontId="17" fillId="2" borderId="80" xfId="2" applyFont="1" applyFill="1" applyBorder="1" applyAlignment="1">
      <alignment horizontal="center" vertical="center"/>
    </xf>
    <xf numFmtId="44" fontId="17" fillId="2" borderId="72" xfId="2" applyFont="1" applyFill="1" applyBorder="1" applyAlignment="1">
      <alignment horizontal="center" vertical="center"/>
    </xf>
    <xf numFmtId="42" fontId="4" fillId="5" borderId="7" xfId="2" applyNumberFormat="1" applyFont="1" applyFill="1" applyBorder="1" applyAlignment="1">
      <alignment horizontal="center" vertical="center"/>
    </xf>
    <xf numFmtId="39" fontId="4" fillId="5" borderId="12" xfId="4" applyNumberFormat="1" applyFont="1" applyFill="1" applyBorder="1" applyAlignment="1">
      <alignment horizontal="center" vertical="center"/>
    </xf>
    <xf numFmtId="42" fontId="4" fillId="5" borderId="7" xfId="2" applyNumberFormat="1" applyFont="1" applyFill="1" applyBorder="1" applyAlignment="1">
      <alignment horizontal="right"/>
    </xf>
    <xf numFmtId="44" fontId="14" fillId="2" borderId="12" xfId="0" applyNumberFormat="1" applyFont="1" applyFill="1" applyBorder="1" applyAlignment="1">
      <alignment horizontal="center" vertical="center"/>
    </xf>
    <xf numFmtId="3" fontId="2" fillId="5" borderId="12" xfId="0" applyNumberFormat="1" applyFont="1" applyFill="1" applyBorder="1" applyAlignment="1">
      <alignment horizontal="right" vertical="center"/>
    </xf>
    <xf numFmtId="42" fontId="2" fillId="5" borderId="7" xfId="0" applyNumberFormat="1" applyFont="1" applyFill="1" applyBorder="1" applyAlignment="1">
      <alignment vertical="center"/>
    </xf>
    <xf numFmtId="0" fontId="2" fillId="2" borderId="23" xfId="0" applyFont="1" applyFill="1" applyBorder="1" applyAlignment="1">
      <alignment horizontal="center" wrapText="1"/>
    </xf>
    <xf numFmtId="41" fontId="0" fillId="2" borderId="43" xfId="0" applyNumberFormat="1" applyFill="1" applyBorder="1" applyAlignment="1">
      <alignment horizontal="right" vertical="center"/>
    </xf>
    <xf numFmtId="41" fontId="0" fillId="2" borderId="46" xfId="0" applyNumberFormat="1" applyFill="1" applyBorder="1" applyAlignment="1">
      <alignment horizontal="right" vertical="center"/>
    </xf>
    <xf numFmtId="41" fontId="0" fillId="2" borderId="63" xfId="0" applyNumberFormat="1" applyFill="1" applyBorder="1" applyAlignment="1">
      <alignment horizontal="right" vertical="center"/>
    </xf>
    <xf numFmtId="0" fontId="14" fillId="7" borderId="74" xfId="0" applyFont="1" applyFill="1" applyBorder="1" applyAlignment="1" applyProtection="1">
      <alignment horizontal="center" vertical="center"/>
      <protection locked="0"/>
    </xf>
    <xf numFmtId="0" fontId="14" fillId="7" borderId="75"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14" xfId="0" applyFont="1" applyFill="1" applyBorder="1" applyAlignment="1" applyProtection="1">
      <alignment horizontal="center" vertical="center"/>
      <protection locked="0"/>
    </xf>
    <xf numFmtId="0" fontId="14" fillId="7" borderId="32" xfId="0" applyFont="1" applyFill="1" applyBorder="1" applyAlignment="1" applyProtection="1">
      <alignment horizontal="center" vertical="center"/>
      <protection locked="0"/>
    </xf>
    <xf numFmtId="0" fontId="14" fillId="7" borderId="76" xfId="0" applyFont="1" applyFill="1" applyBorder="1" applyAlignment="1" applyProtection="1">
      <alignment horizontal="center" vertical="center"/>
      <protection locked="0"/>
    </xf>
    <xf numFmtId="0" fontId="14" fillId="7" borderId="33" xfId="0" applyFont="1" applyFill="1" applyBorder="1" applyAlignment="1" applyProtection="1">
      <alignment horizontal="center" vertical="center"/>
      <protection locked="0"/>
    </xf>
    <xf numFmtId="167" fontId="14" fillId="7" borderId="33" xfId="0" applyNumberFormat="1" applyFont="1" applyFill="1" applyBorder="1" applyAlignment="1" applyProtection="1">
      <alignment horizontal="center" vertical="center"/>
      <protection locked="0"/>
    </xf>
    <xf numFmtId="10" fontId="14" fillId="7" borderId="33" xfId="0" applyNumberFormat="1" applyFont="1" applyFill="1" applyBorder="1" applyAlignment="1" applyProtection="1">
      <alignment horizontal="center" vertical="center"/>
      <protection locked="0"/>
    </xf>
    <xf numFmtId="44" fontId="14" fillId="7" borderId="33" xfId="2" applyFont="1" applyFill="1" applyBorder="1" applyAlignment="1" applyProtection="1">
      <alignment horizontal="center" vertical="center"/>
      <protection locked="0"/>
    </xf>
    <xf numFmtId="0" fontId="14" fillId="7" borderId="77" xfId="0" applyFont="1" applyFill="1" applyBorder="1" applyAlignment="1" applyProtection="1">
      <alignment horizontal="center" vertical="center"/>
      <protection locked="0"/>
    </xf>
    <xf numFmtId="167" fontId="14" fillId="7" borderId="77" xfId="0" applyNumberFormat="1" applyFont="1" applyFill="1" applyBorder="1" applyAlignment="1" applyProtection="1">
      <alignment horizontal="center" vertical="center"/>
      <protection locked="0"/>
    </xf>
    <xf numFmtId="10" fontId="14" fillId="7" borderId="77" xfId="0" applyNumberFormat="1" applyFont="1" applyFill="1" applyBorder="1" applyAlignment="1" applyProtection="1">
      <alignment horizontal="center" vertical="center"/>
      <protection locked="0"/>
    </xf>
    <xf numFmtId="0" fontId="14" fillId="0" borderId="14" xfId="0" applyFont="1" applyBorder="1" applyAlignment="1" applyProtection="1">
      <alignment horizontal="center" vertical="center"/>
      <protection locked="0"/>
    </xf>
    <xf numFmtId="0" fontId="14" fillId="0" borderId="31" xfId="0" applyFont="1" applyBorder="1" applyAlignment="1" applyProtection="1">
      <alignment horizontal="center" vertical="center"/>
      <protection locked="0"/>
    </xf>
    <xf numFmtId="0" fontId="14" fillId="0" borderId="31" xfId="0" applyFont="1" applyBorder="1" applyAlignment="1" applyProtection="1">
      <alignment horizontal="center"/>
      <protection locked="0"/>
    </xf>
    <xf numFmtId="173" fontId="14" fillId="2" borderId="29" xfId="2" applyNumberFormat="1" applyFont="1" applyFill="1" applyBorder="1" applyAlignment="1" applyProtection="1">
      <alignment horizontal="center" vertical="center"/>
    </xf>
    <xf numFmtId="173" fontId="14" fillId="2" borderId="28" xfId="2" applyNumberFormat="1" applyFont="1" applyFill="1" applyBorder="1" applyAlignment="1" applyProtection="1">
      <alignment horizontal="center" vertical="center"/>
    </xf>
    <xf numFmtId="173" fontId="21" fillId="6" borderId="75" xfId="0" applyNumberFormat="1" applyFont="1" applyFill="1" applyBorder="1" applyAlignment="1">
      <alignment horizontal="center"/>
    </xf>
    <xf numFmtId="173" fontId="6" fillId="2" borderId="76" xfId="2" applyNumberFormat="1" applyFont="1" applyFill="1" applyBorder="1" applyAlignment="1" applyProtection="1">
      <alignment horizontal="center"/>
    </xf>
    <xf numFmtId="42" fontId="14" fillId="0" borderId="14" xfId="0" applyNumberFormat="1" applyFont="1" applyBorder="1" applyAlignment="1" applyProtection="1">
      <alignment horizontal="center"/>
      <protection locked="0"/>
    </xf>
    <xf numFmtId="42" fontId="14" fillId="0" borderId="79" xfId="0" applyNumberFormat="1" applyFont="1" applyBorder="1" applyAlignment="1" applyProtection="1">
      <alignment horizontal="center"/>
      <protection locked="0"/>
    </xf>
    <xf numFmtId="42" fontId="14" fillId="0" borderId="44" xfId="0" applyNumberFormat="1" applyFont="1" applyBorder="1" applyAlignment="1" applyProtection="1">
      <alignment horizontal="center"/>
      <protection locked="0"/>
    </xf>
    <xf numFmtId="42" fontId="21" fillId="6" borderId="75" xfId="0" applyNumberFormat="1" applyFont="1" applyFill="1" applyBorder="1" applyAlignment="1">
      <alignment horizontal="center"/>
    </xf>
    <xf numFmtId="42" fontId="6" fillId="2" borderId="76" xfId="2" applyNumberFormat="1" applyFont="1" applyFill="1" applyBorder="1" applyAlignment="1" applyProtection="1">
      <alignment horizontal="center"/>
    </xf>
    <xf numFmtId="3" fontId="14" fillId="7" borderId="14" xfId="1" applyNumberFormat="1" applyFont="1" applyFill="1" applyBorder="1" applyAlignment="1" applyProtection="1">
      <alignment horizontal="center" vertical="center"/>
      <protection locked="0"/>
    </xf>
    <xf numFmtId="1" fontId="14" fillId="7" borderId="14" xfId="1" applyNumberFormat="1" applyFont="1" applyFill="1" applyBorder="1" applyAlignment="1" applyProtection="1">
      <alignment horizontal="center" vertical="center"/>
      <protection locked="0"/>
    </xf>
    <xf numFmtId="3" fontId="14" fillId="7" borderId="76" xfId="1" applyNumberFormat="1" applyFont="1" applyFill="1" applyBorder="1" applyAlignment="1" applyProtection="1">
      <alignment horizontal="center" vertical="center"/>
      <protection locked="0"/>
    </xf>
    <xf numFmtId="3" fontId="14" fillId="2" borderId="15" xfId="1" applyNumberFormat="1" applyFont="1" applyFill="1" applyBorder="1" applyAlignment="1">
      <alignment horizontal="center" vertical="center"/>
    </xf>
    <xf numFmtId="3" fontId="14" fillId="2" borderId="14" xfId="0" applyNumberFormat="1" applyFont="1" applyFill="1" applyBorder="1" applyAlignment="1">
      <alignment horizontal="center" vertical="center"/>
    </xf>
    <xf numFmtId="43" fontId="4" fillId="5" borderId="1" xfId="4" applyFont="1" applyFill="1" applyBorder="1" applyAlignment="1">
      <alignment horizontal="center" vertical="center"/>
    </xf>
    <xf numFmtId="43" fontId="4" fillId="5" borderId="12" xfId="4" applyFont="1" applyFill="1" applyBorder="1" applyAlignment="1">
      <alignment horizontal="center" vertical="center"/>
    </xf>
    <xf numFmtId="43" fontId="4" fillId="5" borderId="6" xfId="4" applyFont="1" applyFill="1" applyBorder="1" applyAlignment="1">
      <alignment horizontal="left"/>
    </xf>
    <xf numFmtId="43" fontId="4" fillId="5" borderId="12" xfId="4" applyFont="1" applyFill="1" applyBorder="1" applyAlignment="1">
      <alignment horizontal="left"/>
    </xf>
    <xf numFmtId="43" fontId="5" fillId="0" borderId="13" xfId="4" applyFont="1" applyBorder="1" applyProtection="1">
      <protection locked="0"/>
    </xf>
    <xf numFmtId="43" fontId="5" fillId="0" borderId="46" xfId="4" applyFont="1" applyBorder="1" applyProtection="1">
      <protection locked="0"/>
    </xf>
    <xf numFmtId="43" fontId="5" fillId="0" borderId="70" xfId="4" applyFont="1" applyBorder="1" applyProtection="1">
      <protection locked="0"/>
    </xf>
    <xf numFmtId="0" fontId="14" fillId="2" borderId="70" xfId="0" applyFont="1" applyFill="1" applyBorder="1" applyProtection="1">
      <protection locked="0"/>
    </xf>
    <xf numFmtId="42" fontId="14" fillId="2" borderId="70" xfId="4" applyNumberFormat="1" applyFont="1" applyFill="1" applyBorder="1" applyAlignment="1">
      <alignment horizontal="center" vertical="center"/>
    </xf>
    <xf numFmtId="43" fontId="5" fillId="0" borderId="73" xfId="4" applyFont="1" applyBorder="1" applyProtection="1">
      <protection locked="0"/>
    </xf>
    <xf numFmtId="0" fontId="14" fillId="2" borderId="71" xfId="0" applyFont="1" applyFill="1" applyBorder="1" applyProtection="1">
      <protection locked="0"/>
    </xf>
    <xf numFmtId="42" fontId="14" fillId="2" borderId="71" xfId="4" applyNumberFormat="1" applyFont="1" applyFill="1" applyBorder="1" applyAlignment="1">
      <alignment horizontal="center" vertical="center"/>
    </xf>
    <xf numFmtId="43" fontId="5" fillId="0" borderId="18" xfId="4" applyFont="1" applyBorder="1" applyProtection="1">
      <protection locked="0"/>
    </xf>
    <xf numFmtId="43" fontId="5" fillId="0" borderId="47" xfId="4" applyFont="1" applyBorder="1" applyProtection="1">
      <protection locked="0"/>
    </xf>
    <xf numFmtId="0" fontId="23" fillId="0" borderId="71" xfId="0" applyFont="1" applyBorder="1" applyProtection="1">
      <protection locked="0"/>
    </xf>
    <xf numFmtId="43" fontId="5" fillId="0" borderId="13" xfId="4" applyFont="1" applyBorder="1" applyAlignment="1" applyProtection="1">
      <alignment vertical="center"/>
      <protection locked="0"/>
    </xf>
    <xf numFmtId="43" fontId="5" fillId="0" borderId="46" xfId="4" applyFont="1" applyBorder="1" applyAlignment="1" applyProtection="1">
      <alignment vertical="center"/>
      <protection locked="0"/>
    </xf>
    <xf numFmtId="43" fontId="5" fillId="0" borderId="71" xfId="4" applyFont="1" applyBorder="1" applyAlignment="1" applyProtection="1">
      <alignment vertical="center"/>
      <protection locked="0"/>
    </xf>
    <xf numFmtId="43" fontId="5" fillId="0" borderId="21" xfId="4" applyFont="1" applyBorder="1" applyAlignment="1" applyProtection="1">
      <alignment vertical="center"/>
      <protection locked="0"/>
    </xf>
    <xf numFmtId="43" fontId="5" fillId="0" borderId="48" xfId="4" applyFont="1" applyBorder="1" applyAlignment="1" applyProtection="1">
      <alignment vertical="center"/>
      <protection locked="0"/>
    </xf>
    <xf numFmtId="43" fontId="5" fillId="0" borderId="80" xfId="4" applyFont="1" applyBorder="1" applyAlignment="1" applyProtection="1">
      <alignment vertical="center"/>
      <protection locked="0"/>
    </xf>
    <xf numFmtId="43" fontId="5" fillId="0" borderId="21" xfId="4" applyFont="1" applyBorder="1" applyProtection="1">
      <protection locked="0"/>
    </xf>
    <xf numFmtId="43" fontId="5" fillId="0" borderId="48" xfId="4" applyFont="1" applyBorder="1" applyProtection="1">
      <protection locked="0"/>
    </xf>
    <xf numFmtId="43" fontId="5" fillId="0" borderId="72" xfId="4" applyFont="1" applyBorder="1" applyProtection="1">
      <protection locked="0"/>
    </xf>
    <xf numFmtId="0" fontId="23" fillId="0" borderId="72" xfId="0" applyFont="1" applyBorder="1" applyProtection="1">
      <protection locked="0"/>
    </xf>
    <xf numFmtId="42" fontId="14" fillId="2" borderId="72" xfId="4" applyNumberFormat="1" applyFont="1" applyFill="1" applyBorder="1" applyAlignment="1">
      <alignment horizontal="center" vertical="center"/>
    </xf>
    <xf numFmtId="43" fontId="5" fillId="0" borderId="50" xfId="4" applyFont="1" applyBorder="1" applyProtection="1">
      <protection locked="0"/>
    </xf>
    <xf numFmtId="43" fontId="5" fillId="0" borderId="52" xfId="4" applyFont="1" applyBorder="1" applyProtection="1">
      <protection locked="0"/>
    </xf>
    <xf numFmtId="0" fontId="14" fillId="2" borderId="81" xfId="0" applyFont="1" applyFill="1" applyBorder="1" applyProtection="1">
      <protection locked="0"/>
    </xf>
    <xf numFmtId="0" fontId="14" fillId="2" borderId="82" xfId="0" applyFont="1" applyFill="1" applyBorder="1" applyProtection="1">
      <protection locked="0"/>
    </xf>
    <xf numFmtId="43" fontId="5" fillId="0" borderId="51" xfId="4" applyFont="1" applyBorder="1" applyProtection="1">
      <protection locked="0"/>
    </xf>
    <xf numFmtId="43" fontId="5" fillId="0" borderId="53" xfId="4" applyFont="1" applyBorder="1" applyProtection="1">
      <protection locked="0"/>
    </xf>
    <xf numFmtId="43" fontId="5" fillId="0" borderId="55" xfId="4" applyFont="1" applyBorder="1" applyProtection="1">
      <protection locked="0"/>
    </xf>
    <xf numFmtId="0" fontId="24" fillId="0" borderId="0" xfId="0" applyFont="1"/>
    <xf numFmtId="3" fontId="14" fillId="0" borderId="14" xfId="1" applyNumberFormat="1" applyFont="1" applyBorder="1" applyAlignment="1" applyProtection="1">
      <alignment horizontal="center" vertical="center"/>
      <protection locked="0"/>
    </xf>
    <xf numFmtId="3" fontId="14" fillId="0" borderId="14" xfId="1" applyNumberFormat="1" applyFont="1" applyBorder="1" applyAlignment="1" applyProtection="1">
      <alignment horizontal="center"/>
      <protection locked="0"/>
    </xf>
    <xf numFmtId="3" fontId="14" fillId="0" borderId="15" xfId="1" applyNumberFormat="1" applyFont="1" applyBorder="1" applyAlignment="1" applyProtection="1">
      <alignment horizontal="center"/>
      <protection locked="0"/>
    </xf>
    <xf numFmtId="3" fontId="6" fillId="2" borderId="76" xfId="1" applyNumberFormat="1" applyFont="1" applyFill="1" applyBorder="1" applyAlignment="1" applyProtection="1">
      <alignment horizontal="center"/>
    </xf>
    <xf numFmtId="3" fontId="4" fillId="2" borderId="12" xfId="4" applyNumberFormat="1" applyFont="1" applyFill="1" applyBorder="1" applyAlignment="1">
      <alignment horizontal="center"/>
    </xf>
    <xf numFmtId="42" fontId="14" fillId="0" borderId="43" xfId="2" applyNumberFormat="1" applyFont="1" applyBorder="1" applyAlignment="1" applyProtection="1">
      <alignment vertical="center"/>
      <protection locked="0"/>
    </xf>
    <xf numFmtId="42" fontId="14" fillId="0" borderId="46" xfId="2" applyNumberFormat="1" applyFont="1" applyBorder="1" applyAlignment="1" applyProtection="1">
      <alignment vertical="center"/>
      <protection locked="0"/>
    </xf>
    <xf numFmtId="42" fontId="14" fillId="0" borderId="63" xfId="2" applyNumberFormat="1" applyFont="1" applyBorder="1" applyAlignment="1" applyProtection="1">
      <alignment vertical="center"/>
      <protection locked="0"/>
    </xf>
    <xf numFmtId="0" fontId="14" fillId="2" borderId="69" xfId="0" applyFont="1" applyFill="1" applyBorder="1" applyAlignment="1">
      <alignment vertical="center" wrapText="1"/>
    </xf>
    <xf numFmtId="0" fontId="14" fillId="2" borderId="45" xfId="0" applyFont="1" applyFill="1" applyBorder="1" applyAlignment="1">
      <alignment vertical="center" wrapText="1"/>
    </xf>
    <xf numFmtId="0" fontId="14" fillId="2" borderId="5" xfId="0" applyFont="1" applyFill="1" applyBorder="1" applyAlignment="1">
      <alignment vertical="center" wrapText="1"/>
    </xf>
    <xf numFmtId="164" fontId="25" fillId="3" borderId="0" xfId="4" applyNumberFormat="1" applyFont="1" applyFill="1" applyAlignment="1">
      <alignment horizontal="center"/>
    </xf>
    <xf numFmtId="0" fontId="6" fillId="2" borderId="4" xfId="0" applyFont="1" applyFill="1" applyBorder="1" applyAlignment="1">
      <alignment horizontal="center" vertical="center"/>
    </xf>
    <xf numFmtId="44" fontId="17" fillId="2" borderId="43" xfId="2" applyFont="1" applyFill="1" applyBorder="1" applyAlignment="1">
      <alignment horizontal="center" vertical="center"/>
    </xf>
    <xf numFmtId="44" fontId="17" fillId="2" borderId="46" xfId="2" applyFont="1" applyFill="1" applyBorder="1" applyAlignment="1">
      <alignment horizontal="center" vertical="center"/>
    </xf>
    <xf numFmtId="44" fontId="17" fillId="2" borderId="48" xfId="2" applyFont="1" applyFill="1" applyBorder="1" applyAlignment="1">
      <alignment horizontal="center" vertical="center"/>
    </xf>
    <xf numFmtId="44" fontId="17" fillId="2" borderId="63" xfId="2" applyFont="1" applyFill="1" applyBorder="1" applyAlignment="1">
      <alignment horizontal="center" vertical="center"/>
    </xf>
    <xf numFmtId="44" fontId="17" fillId="5" borderId="85" xfId="2" applyFont="1" applyFill="1" applyBorder="1" applyAlignment="1">
      <alignment horizontal="center" vertical="center"/>
    </xf>
    <xf numFmtId="44" fontId="17" fillId="5" borderId="86" xfId="2" applyFont="1" applyFill="1" applyBorder="1" applyAlignment="1">
      <alignment horizontal="center" vertical="center"/>
    </xf>
    <xf numFmtId="44" fontId="17" fillId="5" borderId="87" xfId="2" applyFont="1" applyFill="1" applyBorder="1" applyAlignment="1">
      <alignment horizontal="center" vertical="center"/>
    </xf>
    <xf numFmtId="44" fontId="17" fillId="5" borderId="88" xfId="2" applyFont="1" applyFill="1" applyBorder="1" applyAlignment="1">
      <alignment horizontal="center" vertical="center"/>
    </xf>
    <xf numFmtId="44" fontId="17" fillId="5" borderId="89" xfId="2" applyFont="1" applyFill="1" applyBorder="1" applyAlignment="1">
      <alignment horizontal="center" vertical="center"/>
    </xf>
    <xf numFmtId="44" fontId="17" fillId="5" borderId="90" xfId="2" applyFont="1" applyFill="1" applyBorder="1" applyAlignment="1">
      <alignment horizontal="center" vertical="center"/>
    </xf>
    <xf numFmtId="44" fontId="17" fillId="2" borderId="69" xfId="2" applyFont="1" applyFill="1" applyBorder="1" applyAlignment="1">
      <alignment horizontal="center" vertical="center"/>
    </xf>
    <xf numFmtId="44" fontId="17" fillId="2" borderId="38" xfId="2" applyFont="1" applyFill="1" applyBorder="1" applyAlignment="1">
      <alignment horizontal="center" vertical="center"/>
    </xf>
    <xf numFmtId="44" fontId="17" fillId="2" borderId="93" xfId="2" applyFont="1" applyFill="1" applyBorder="1" applyAlignment="1">
      <alignment horizontal="center" vertical="center"/>
    </xf>
    <xf numFmtId="44" fontId="17" fillId="2" borderId="91" xfId="2" applyFont="1" applyFill="1" applyBorder="1" applyAlignment="1">
      <alignment horizontal="center" vertical="center"/>
    </xf>
    <xf numFmtId="44" fontId="17" fillId="7" borderId="91" xfId="2" applyFont="1" applyFill="1" applyBorder="1" applyAlignment="1" applyProtection="1">
      <alignment horizontal="center" vertical="center"/>
      <protection locked="0"/>
    </xf>
    <xf numFmtId="44" fontId="17" fillId="7" borderId="92" xfId="2" applyFont="1" applyFill="1" applyBorder="1" applyAlignment="1" applyProtection="1">
      <alignment horizontal="center" vertical="center"/>
      <protection locked="0"/>
    </xf>
    <xf numFmtId="0" fontId="17" fillId="2" borderId="88" xfId="0" applyFont="1" applyFill="1" applyBorder="1" applyProtection="1">
      <protection locked="0"/>
    </xf>
    <xf numFmtId="0" fontId="17" fillId="2" borderId="89" xfId="0" applyFont="1" applyFill="1" applyBorder="1" applyProtection="1">
      <protection locked="0"/>
    </xf>
    <xf numFmtId="0" fontId="19" fillId="0" borderId="52" xfId="0" applyFont="1" applyBorder="1" applyProtection="1">
      <protection locked="0"/>
    </xf>
    <xf numFmtId="0" fontId="19" fillId="0" borderId="51" xfId="0" applyFont="1" applyBorder="1" applyProtection="1">
      <protection locked="0"/>
    </xf>
    <xf numFmtId="0" fontId="19" fillId="0" borderId="53" xfId="0" applyFont="1" applyBorder="1" applyProtection="1">
      <protection locked="0"/>
    </xf>
    <xf numFmtId="44" fontId="17" fillId="2" borderId="65" xfId="2" applyFont="1" applyFill="1" applyBorder="1" applyAlignment="1">
      <alignment horizontal="center" vertical="center"/>
    </xf>
    <xf numFmtId="44" fontId="17" fillId="2" borderId="64" xfId="2" applyFont="1" applyFill="1" applyBorder="1" applyAlignment="1">
      <alignment horizontal="center" vertical="center"/>
    </xf>
    <xf numFmtId="1" fontId="14" fillId="7" borderId="96" xfId="1" applyNumberFormat="1" applyFont="1" applyFill="1" applyBorder="1" applyAlignment="1" applyProtection="1">
      <alignment horizontal="center" vertical="center"/>
      <protection locked="0"/>
    </xf>
    <xf numFmtId="3" fontId="14" fillId="7" borderId="96" xfId="1" applyNumberFormat="1" applyFont="1" applyFill="1" applyBorder="1" applyAlignment="1" applyProtection="1">
      <alignment horizontal="center" vertical="center"/>
      <protection locked="0"/>
    </xf>
    <xf numFmtId="3" fontId="14" fillId="7" borderId="97" xfId="1" applyNumberFormat="1" applyFont="1" applyFill="1" applyBorder="1" applyAlignment="1" applyProtection="1">
      <alignment horizontal="center" vertical="center"/>
      <protection locked="0"/>
    </xf>
    <xf numFmtId="3" fontId="14" fillId="7" borderId="98" xfId="1" applyNumberFormat="1" applyFont="1" applyFill="1" applyBorder="1" applyAlignment="1" applyProtection="1">
      <alignment horizontal="center" vertical="center"/>
      <protection locked="0"/>
    </xf>
    <xf numFmtId="3" fontId="14" fillId="7" borderId="31" xfId="1" applyNumberFormat="1" applyFont="1" applyFill="1" applyBorder="1" applyAlignment="1" applyProtection="1">
      <alignment horizontal="center" vertical="center"/>
      <protection locked="0"/>
    </xf>
    <xf numFmtId="3" fontId="14" fillId="7" borderId="77" xfId="1" applyNumberFormat="1" applyFont="1" applyFill="1" applyBorder="1" applyAlignment="1" applyProtection="1">
      <alignment horizontal="center" vertical="center"/>
      <protection locked="0"/>
    </xf>
    <xf numFmtId="3" fontId="14" fillId="2" borderId="94" xfId="1" applyNumberFormat="1" applyFont="1" applyFill="1" applyBorder="1" applyAlignment="1">
      <alignment horizontal="center" vertical="center"/>
    </xf>
    <xf numFmtId="3" fontId="14" fillId="2" borderId="94" xfId="0" applyNumberFormat="1" applyFont="1" applyFill="1" applyBorder="1" applyAlignment="1">
      <alignment horizontal="center" vertical="center"/>
    </xf>
    <xf numFmtId="1" fontId="14" fillId="2" borderId="95" xfId="0" applyNumberFormat="1" applyFont="1" applyFill="1" applyBorder="1" applyAlignment="1">
      <alignment horizontal="center" vertical="center"/>
    </xf>
    <xf numFmtId="3" fontId="14" fillId="2" borderId="100" xfId="1" applyNumberFormat="1" applyFont="1" applyFill="1" applyBorder="1" applyAlignment="1">
      <alignment horizontal="center" vertical="center"/>
    </xf>
    <xf numFmtId="3" fontId="14" fillId="2" borderId="98" xfId="0" applyNumberFormat="1" applyFont="1" applyFill="1" applyBorder="1" applyAlignment="1">
      <alignment horizontal="center" vertical="center"/>
    </xf>
    <xf numFmtId="3" fontId="14" fillId="7" borderId="101" xfId="1" applyNumberFormat="1" applyFont="1" applyFill="1" applyBorder="1" applyAlignment="1" applyProtection="1">
      <alignment horizontal="center" vertical="center"/>
      <protection locked="0"/>
    </xf>
    <xf numFmtId="3" fontId="14" fillId="7" borderId="42" xfId="1" applyNumberFormat="1" applyFont="1" applyFill="1" applyBorder="1" applyAlignment="1" applyProtection="1">
      <alignment horizontal="center" vertical="center"/>
      <protection locked="0"/>
    </xf>
    <xf numFmtId="3" fontId="14" fillId="7" borderId="102" xfId="1" applyNumberFormat="1" applyFont="1" applyFill="1" applyBorder="1" applyAlignment="1" applyProtection="1">
      <alignment horizontal="center" vertical="center"/>
      <protection locked="0"/>
    </xf>
    <xf numFmtId="0" fontId="16" fillId="2" borderId="68" xfId="0" applyFont="1" applyFill="1" applyBorder="1" applyAlignment="1">
      <alignment horizontal="center" vertical="center" wrapText="1"/>
    </xf>
    <xf numFmtId="1" fontId="14" fillId="2" borderId="106" xfId="0" applyNumberFormat="1" applyFont="1" applyFill="1" applyBorder="1" applyAlignment="1">
      <alignment horizontal="center" vertical="center"/>
    </xf>
    <xf numFmtId="1" fontId="14" fillId="2" borderId="108" xfId="0" applyNumberFormat="1" applyFont="1" applyFill="1" applyBorder="1" applyAlignment="1">
      <alignment horizontal="center" vertical="center"/>
    </xf>
    <xf numFmtId="0" fontId="6" fillId="2" borderId="109"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6" fillId="2" borderId="110" xfId="0" applyFont="1" applyFill="1" applyBorder="1" applyAlignment="1">
      <alignment horizontal="center" vertical="center" wrapText="1"/>
    </xf>
    <xf numFmtId="42" fontId="14" fillId="2" borderId="43" xfId="0" applyNumberFormat="1" applyFont="1" applyFill="1" applyBorder="1" applyAlignment="1">
      <alignment horizontal="center" vertical="center"/>
    </xf>
    <xf numFmtId="42" fontId="14" fillId="2" borderId="46" xfId="0" applyNumberFormat="1" applyFont="1" applyFill="1" applyBorder="1" applyAlignment="1">
      <alignment horizontal="center" vertical="center"/>
    </xf>
    <xf numFmtId="42" fontId="14" fillId="7" borderId="46" xfId="0" applyNumberFormat="1" applyFont="1" applyFill="1" applyBorder="1" applyProtection="1">
      <protection locked="0"/>
    </xf>
    <xf numFmtId="42" fontId="14" fillId="7" borderId="63" xfId="0" applyNumberFormat="1" applyFont="1" applyFill="1" applyBorder="1" applyProtection="1">
      <protection locked="0"/>
    </xf>
    <xf numFmtId="42" fontId="14" fillId="2" borderId="69" xfId="4" applyNumberFormat="1" applyFont="1" applyFill="1" applyBorder="1" applyAlignment="1">
      <alignment horizontal="center" vertical="center"/>
    </xf>
    <xf numFmtId="42" fontId="14" fillId="2" borderId="38" xfId="4" applyNumberFormat="1" applyFont="1" applyFill="1" applyBorder="1" applyAlignment="1">
      <alignment horizontal="center" vertical="center"/>
    </xf>
    <xf numFmtId="42" fontId="14" fillId="2" borderId="64" xfId="4" applyNumberFormat="1" applyFont="1" applyFill="1" applyBorder="1" applyAlignment="1">
      <alignment horizontal="center" vertical="center"/>
    </xf>
    <xf numFmtId="42" fontId="14" fillId="2" borderId="85" xfId="1" applyNumberFormat="1" applyFont="1" applyFill="1" applyBorder="1" applyAlignment="1">
      <alignment horizontal="center"/>
    </xf>
    <xf numFmtId="42" fontId="14" fillId="2" borderId="86" xfId="1" applyNumberFormat="1" applyFont="1" applyFill="1" applyBorder="1" applyAlignment="1">
      <alignment horizontal="center"/>
    </xf>
    <xf numFmtId="42" fontId="14" fillId="2" borderId="87" xfId="1" applyNumberFormat="1" applyFont="1" applyFill="1" applyBorder="1" applyAlignment="1">
      <alignment horizontal="center"/>
    </xf>
    <xf numFmtId="42" fontId="14" fillId="2" borderId="43" xfId="0" applyNumberFormat="1" applyFont="1" applyFill="1" applyBorder="1" applyAlignment="1">
      <alignment horizontal="center"/>
    </xf>
    <xf numFmtId="42" fontId="14" fillId="2" borderId="46" xfId="0" applyNumberFormat="1" applyFont="1" applyFill="1" applyBorder="1" applyAlignment="1">
      <alignment horizontal="center"/>
    </xf>
    <xf numFmtId="42" fontId="14" fillId="7" borderId="46" xfId="0" applyNumberFormat="1" applyFont="1" applyFill="1" applyBorder="1" applyAlignment="1" applyProtection="1">
      <alignment horizontal="center" vertical="center"/>
      <protection locked="0"/>
    </xf>
    <xf numFmtId="42" fontId="14" fillId="7" borderId="63" xfId="0" applyNumberFormat="1" applyFont="1" applyFill="1" applyBorder="1" applyAlignment="1" applyProtection="1">
      <alignment horizontal="center" vertical="center"/>
      <protection locked="0"/>
    </xf>
    <xf numFmtId="0" fontId="0" fillId="2" borderId="103" xfId="0" applyFill="1" applyBorder="1"/>
    <xf numFmtId="0" fontId="0" fillId="2" borderId="86" xfId="0" applyFill="1" applyBorder="1"/>
    <xf numFmtId="0" fontId="0" fillId="2" borderId="87" xfId="0" applyFill="1" applyBorder="1"/>
    <xf numFmtId="174" fontId="14" fillId="7" borderId="14" xfId="0" applyNumberFormat="1" applyFont="1" applyFill="1" applyBorder="1" applyAlignment="1" applyProtection="1">
      <alignment horizontal="center" vertical="center"/>
      <protection locked="0"/>
    </xf>
    <xf numFmtId="174" fontId="14" fillId="7" borderId="76" xfId="0" applyNumberFormat="1" applyFont="1" applyFill="1" applyBorder="1" applyAlignment="1" applyProtection="1">
      <alignment horizontal="center" vertical="center"/>
      <protection locked="0"/>
    </xf>
    <xf numFmtId="175" fontId="14" fillId="7" borderId="75" xfId="0" applyNumberFormat="1" applyFont="1" applyFill="1" applyBorder="1" applyAlignment="1" applyProtection="1">
      <alignment horizontal="center" vertical="center"/>
      <protection locked="0"/>
    </xf>
    <xf numFmtId="175" fontId="14" fillId="7" borderId="14" xfId="0" applyNumberFormat="1" applyFont="1" applyFill="1" applyBorder="1" applyAlignment="1" applyProtection="1">
      <alignment horizontal="center" vertical="center"/>
      <protection locked="0"/>
    </xf>
    <xf numFmtId="175" fontId="14" fillId="7" borderId="76" xfId="0" applyNumberFormat="1" applyFont="1" applyFill="1" applyBorder="1" applyAlignment="1" applyProtection="1">
      <alignment horizontal="center" vertical="center"/>
      <protection locked="0"/>
    </xf>
    <xf numFmtId="1" fontId="6" fillId="2" borderId="35" xfId="0" applyNumberFormat="1" applyFont="1" applyFill="1" applyBorder="1" applyAlignment="1">
      <alignment horizontal="center" vertical="center" wrapText="1"/>
    </xf>
    <xf numFmtId="1" fontId="14" fillId="7" borderId="30" xfId="0" applyNumberFormat="1" applyFont="1" applyFill="1" applyBorder="1" applyAlignment="1" applyProtection="1">
      <alignment horizontal="center" vertical="center"/>
      <protection locked="0"/>
    </xf>
    <xf numFmtId="1" fontId="14" fillId="7" borderId="19" xfId="0" applyNumberFormat="1" applyFont="1" applyFill="1" applyBorder="1" applyAlignment="1" applyProtection="1">
      <alignment horizontal="center" vertical="center"/>
      <protection locked="0"/>
    </xf>
    <xf numFmtId="1" fontId="14" fillId="7" borderId="34" xfId="0" applyNumberFormat="1" applyFont="1" applyFill="1" applyBorder="1" applyAlignment="1" applyProtection="1">
      <alignment horizontal="center" vertical="center"/>
      <protection locked="0"/>
    </xf>
    <xf numFmtId="0" fontId="2" fillId="2" borderId="10" xfId="0" applyFont="1" applyFill="1" applyBorder="1" applyAlignment="1">
      <alignment vertical="center" wrapText="1"/>
    </xf>
    <xf numFmtId="164" fontId="4" fillId="2" borderId="2" xfId="4" applyNumberFormat="1" applyFont="1" applyFill="1" applyBorder="1" applyAlignment="1">
      <alignment horizontal="center" vertical="center" wrapText="1"/>
    </xf>
    <xf numFmtId="164" fontId="5" fillId="3" borderId="0" xfId="4" applyNumberFormat="1" applyFont="1" applyFill="1" applyAlignment="1">
      <alignment horizontal="center"/>
    </xf>
    <xf numFmtId="0" fontId="21" fillId="6" borderId="24" xfId="0" applyFont="1" applyFill="1" applyBorder="1" applyAlignment="1">
      <alignment horizontal="left" wrapText="1"/>
    </xf>
    <xf numFmtId="3" fontId="21" fillId="6" borderId="27" xfId="0" applyNumberFormat="1" applyFont="1" applyFill="1" applyBorder="1" applyAlignment="1">
      <alignment horizontal="center" vertical="center"/>
    </xf>
    <xf numFmtId="0" fontId="21" fillId="6" borderId="27" xfId="0" applyFont="1" applyFill="1" applyBorder="1" applyAlignment="1">
      <alignment horizontal="center" vertical="center"/>
    </xf>
    <xf numFmtId="42" fontId="21" fillId="6" borderId="27" xfId="0" applyNumberFormat="1" applyFont="1" applyFill="1" applyBorder="1" applyAlignment="1">
      <alignment horizontal="center" vertical="center"/>
    </xf>
    <xf numFmtId="1" fontId="14" fillId="7" borderId="33" xfId="0" applyNumberFormat="1" applyFont="1" applyFill="1" applyBorder="1" applyAlignment="1" applyProtection="1">
      <alignment horizontal="center" vertical="center"/>
      <protection locked="0"/>
    </xf>
    <xf numFmtId="1" fontId="14" fillId="7" borderId="77" xfId="0" applyNumberFormat="1" applyFont="1" applyFill="1" applyBorder="1" applyAlignment="1" applyProtection="1">
      <alignment horizontal="center" vertical="center"/>
      <protection locked="0"/>
    </xf>
    <xf numFmtId="0" fontId="2" fillId="2" borderId="12" xfId="0" applyFont="1" applyFill="1" applyBorder="1" applyAlignment="1">
      <alignment horizontal="center" vertical="center" wrapText="1"/>
    </xf>
    <xf numFmtId="0" fontId="0" fillId="0" borderId="13" xfId="0" applyBorder="1" applyProtection="1">
      <protection locked="0"/>
    </xf>
    <xf numFmtId="164" fontId="0" fillId="0" borderId="14" xfId="1" applyNumberFormat="1" applyFont="1" applyBorder="1" applyProtection="1">
      <protection locked="0"/>
    </xf>
    <xf numFmtId="166" fontId="0" fillId="0" borderId="75" xfId="0" applyNumberFormat="1" applyBorder="1" applyProtection="1">
      <protection locked="0"/>
    </xf>
    <xf numFmtId="166" fontId="0" fillId="0" borderId="31" xfId="0" applyNumberFormat="1" applyBorder="1" applyProtection="1">
      <protection locked="0"/>
    </xf>
    <xf numFmtId="166" fontId="0" fillId="0" borderId="33" xfId="0" applyNumberFormat="1" applyBorder="1" applyProtection="1">
      <protection locked="0"/>
    </xf>
    <xf numFmtId="42" fontId="14" fillId="2" borderId="43" xfId="2" applyNumberFormat="1" applyFont="1" applyFill="1" applyBorder="1" applyAlignment="1" applyProtection="1">
      <alignment horizontal="center" vertical="center"/>
    </xf>
    <xf numFmtId="42" fontId="14" fillId="2" borderId="46" xfId="2" applyNumberFormat="1" applyFont="1" applyFill="1" applyBorder="1" applyAlignment="1" applyProtection="1">
      <alignment horizontal="center" vertical="center"/>
    </xf>
    <xf numFmtId="42" fontId="14" fillId="2" borderId="63" xfId="2" applyNumberFormat="1" applyFont="1" applyFill="1" applyBorder="1" applyAlignment="1" applyProtection="1">
      <alignment horizontal="center" vertical="center"/>
    </xf>
    <xf numFmtId="42" fontId="6" fillId="5" borderId="7" xfId="2" applyNumberFormat="1" applyFont="1" applyFill="1" applyBorder="1" applyAlignment="1" applyProtection="1">
      <alignment horizontal="center" vertical="center"/>
    </xf>
    <xf numFmtId="3" fontId="2" fillId="2" borderId="12" xfId="0" applyNumberFormat="1" applyFont="1" applyFill="1" applyBorder="1" applyAlignment="1">
      <alignment horizontal="right" vertical="center"/>
    </xf>
    <xf numFmtId="3" fontId="2" fillId="5" borderId="12" xfId="0" applyNumberFormat="1" applyFont="1" applyFill="1" applyBorder="1" applyAlignment="1">
      <alignment horizontal="right"/>
    </xf>
    <xf numFmtId="0" fontId="2" fillId="5" borderId="12" xfId="0" applyFont="1" applyFill="1" applyBorder="1" applyAlignment="1">
      <alignment vertical="center"/>
    </xf>
    <xf numFmtId="177" fontId="14" fillId="7" borderId="33" xfId="0" applyNumberFormat="1" applyFont="1" applyFill="1" applyBorder="1" applyAlignment="1" applyProtection="1">
      <alignment horizontal="center" vertical="center"/>
      <protection locked="0"/>
    </xf>
    <xf numFmtId="177" fontId="14" fillId="2" borderId="33" xfId="0" applyNumberFormat="1" applyFont="1" applyFill="1" applyBorder="1" applyAlignment="1">
      <alignment horizontal="center" vertical="center"/>
    </xf>
    <xf numFmtId="42" fontId="2" fillId="5" borderId="12" xfId="0" applyNumberFormat="1" applyFont="1" applyFill="1" applyBorder="1" applyAlignment="1">
      <alignment horizontal="right"/>
    </xf>
    <xf numFmtId="38" fontId="2" fillId="2" borderId="12" xfId="0" applyNumberFormat="1" applyFont="1" applyFill="1" applyBorder="1" applyAlignment="1">
      <alignment horizontal="right"/>
    </xf>
    <xf numFmtId="38" fontId="2" fillId="5" borderId="12" xfId="0" applyNumberFormat="1" applyFont="1" applyFill="1" applyBorder="1" applyAlignment="1">
      <alignment horizontal="right"/>
    </xf>
    <xf numFmtId="165" fontId="2" fillId="5" borderId="55" xfId="2" applyNumberFormat="1" applyFont="1" applyFill="1" applyBorder="1" applyAlignment="1">
      <alignment horizontal="right" vertical="center"/>
    </xf>
    <xf numFmtId="178" fontId="2" fillId="2" borderId="12" xfId="0" applyNumberFormat="1" applyFont="1" applyFill="1" applyBorder="1" applyAlignment="1">
      <alignment horizontal="right"/>
    </xf>
    <xf numFmtId="178" fontId="2" fillId="5" borderId="12" xfId="0" applyNumberFormat="1" applyFont="1" applyFill="1" applyBorder="1" applyAlignment="1">
      <alignment horizontal="right"/>
    </xf>
    <xf numFmtId="0" fontId="14" fillId="0" borderId="101" xfId="0" applyFont="1" applyBorder="1" applyAlignment="1" applyProtection="1">
      <alignment horizontal="center" vertical="center"/>
      <protection locked="0"/>
    </xf>
    <xf numFmtId="0" fontId="14" fillId="0" borderId="101" xfId="0" applyFont="1" applyBorder="1" applyAlignment="1" applyProtection="1">
      <alignment horizontal="center"/>
      <protection locked="0"/>
    </xf>
    <xf numFmtId="164" fontId="0" fillId="0" borderId="75" xfId="1" applyNumberFormat="1" applyFont="1" applyBorder="1" applyProtection="1">
      <protection locked="0"/>
    </xf>
    <xf numFmtId="3" fontId="14" fillId="0" borderId="75" xfId="1" applyNumberFormat="1" applyFont="1" applyBorder="1" applyAlignment="1" applyProtection="1">
      <alignment horizontal="center"/>
      <protection locked="0"/>
    </xf>
    <xf numFmtId="37" fontId="14" fillId="2" borderId="75" xfId="1" applyNumberFormat="1" applyFont="1" applyFill="1" applyBorder="1" applyAlignment="1" applyProtection="1">
      <alignment horizontal="center"/>
    </xf>
    <xf numFmtId="37" fontId="14" fillId="2" borderId="99" xfId="1" applyNumberFormat="1" applyFont="1" applyFill="1" applyBorder="1" applyAlignment="1" applyProtection="1">
      <alignment horizontal="center"/>
    </xf>
    <xf numFmtId="0" fontId="14" fillId="0" borderId="75" xfId="0" applyFont="1" applyBorder="1" applyAlignment="1" applyProtection="1">
      <alignment horizontal="center" vertical="center"/>
      <protection locked="0"/>
    </xf>
    <xf numFmtId="173" fontId="14" fillId="2" borderId="99" xfId="2" applyNumberFormat="1" applyFont="1" applyFill="1" applyBorder="1" applyAlignment="1" applyProtection="1">
      <alignment horizontal="center" vertical="center"/>
    </xf>
    <xf numFmtId="0" fontId="0" fillId="0" borderId="30" xfId="0" applyBorder="1" applyProtection="1">
      <protection locked="0"/>
    </xf>
    <xf numFmtId="0" fontId="0" fillId="0" borderId="19" xfId="0" applyBorder="1" applyProtection="1">
      <protection locked="0"/>
    </xf>
    <xf numFmtId="0" fontId="14" fillId="0" borderId="32" xfId="0" applyFont="1" applyBorder="1" applyAlignment="1" applyProtection="1">
      <alignment horizontal="center"/>
      <protection locked="0"/>
    </xf>
    <xf numFmtId="0" fontId="14" fillId="0" borderId="102" xfId="0" applyFont="1" applyBorder="1" applyAlignment="1" applyProtection="1">
      <alignment horizontal="center"/>
      <protection locked="0"/>
    </xf>
    <xf numFmtId="0" fontId="14" fillId="0" borderId="121" xfId="0" applyFont="1" applyBorder="1" applyAlignment="1" applyProtection="1">
      <alignment horizontal="center"/>
      <protection locked="0"/>
    </xf>
    <xf numFmtId="164" fontId="14" fillId="0" borderId="76" xfId="1" applyNumberFormat="1" applyFont="1" applyBorder="1" applyAlignment="1" applyProtection="1">
      <alignment horizontal="center"/>
      <protection locked="0"/>
    </xf>
    <xf numFmtId="169" fontId="14" fillId="0" borderId="76" xfId="1" applyNumberFormat="1" applyFont="1" applyBorder="1" applyAlignment="1" applyProtection="1">
      <alignment horizontal="center"/>
      <protection locked="0"/>
    </xf>
    <xf numFmtId="164" fontId="14" fillId="0" borderId="35" xfId="1" applyNumberFormat="1" applyFont="1" applyBorder="1" applyAlignment="1" applyProtection="1">
      <alignment horizontal="center"/>
      <protection locked="0"/>
    </xf>
    <xf numFmtId="37" fontId="14" fillId="2" borderId="35" xfId="1" applyNumberFormat="1" applyFont="1" applyFill="1" applyBorder="1" applyAlignment="1" applyProtection="1">
      <alignment horizontal="center"/>
    </xf>
    <xf numFmtId="37" fontId="14" fillId="2" borderId="122" xfId="1" applyNumberFormat="1" applyFont="1" applyFill="1" applyBorder="1" applyAlignment="1" applyProtection="1">
      <alignment horizontal="center"/>
    </xf>
    <xf numFmtId="0" fontId="14" fillId="0" borderId="77" xfId="0" applyFont="1" applyBorder="1" applyAlignment="1" applyProtection="1">
      <alignment horizontal="center" vertical="center"/>
      <protection locked="0"/>
    </xf>
    <xf numFmtId="173" fontId="14" fillId="2" borderId="122" xfId="2" applyNumberFormat="1" applyFont="1" applyFill="1" applyBorder="1" applyAlignment="1" applyProtection="1">
      <alignment horizontal="center" vertical="center"/>
    </xf>
    <xf numFmtId="42" fontId="14" fillId="0" borderId="123" xfId="0" applyNumberFormat="1" applyFont="1" applyBorder="1" applyAlignment="1" applyProtection="1">
      <alignment horizontal="center"/>
      <protection locked="0"/>
    </xf>
    <xf numFmtId="0" fontId="14" fillId="0" borderId="64" xfId="0" applyFont="1" applyBorder="1" applyAlignment="1" applyProtection="1">
      <alignment horizontal="center"/>
      <protection locked="0"/>
    </xf>
    <xf numFmtId="0" fontId="0" fillId="0" borderId="74" xfId="0" applyBorder="1" applyProtection="1">
      <protection locked="0"/>
    </xf>
    <xf numFmtId="0" fontId="0" fillId="0" borderId="32" xfId="0" applyBorder="1" applyProtection="1">
      <protection locked="0"/>
    </xf>
    <xf numFmtId="3" fontId="14" fillId="0" borderId="76" xfId="1" applyNumberFormat="1" applyFont="1" applyBorder="1" applyAlignment="1" applyProtection="1">
      <alignment horizontal="center"/>
      <protection locked="0"/>
    </xf>
    <xf numFmtId="0" fontId="14" fillId="0" borderId="76" xfId="0" applyFont="1" applyBorder="1" applyAlignment="1" applyProtection="1">
      <alignment horizontal="center"/>
      <protection locked="0"/>
    </xf>
    <xf numFmtId="0" fontId="6" fillId="2" borderId="4" xfId="0" applyFont="1" applyFill="1" applyBorder="1" applyAlignment="1">
      <alignment vertical="center"/>
    </xf>
    <xf numFmtId="0" fontId="6" fillId="2" borderId="35" xfId="0" applyFont="1" applyFill="1" applyBorder="1" applyAlignment="1">
      <alignment vertical="center"/>
    </xf>
    <xf numFmtId="3" fontId="6" fillId="2" borderId="35" xfId="1" applyNumberFormat="1" applyFont="1" applyFill="1" applyBorder="1" applyAlignment="1" applyProtection="1">
      <alignment horizontal="center"/>
    </xf>
    <xf numFmtId="39" fontId="6" fillId="2" borderId="35" xfId="1" applyNumberFormat="1" applyFont="1" applyFill="1" applyBorder="1" applyProtection="1"/>
    <xf numFmtId="164" fontId="6" fillId="2" borderId="35" xfId="1" applyNumberFormat="1" applyFont="1" applyFill="1" applyBorder="1" applyAlignment="1" applyProtection="1">
      <alignment horizontal="center"/>
    </xf>
    <xf numFmtId="37" fontId="6" fillId="2" borderId="35" xfId="1" applyNumberFormat="1" applyFont="1" applyFill="1" applyBorder="1" applyAlignment="1" applyProtection="1">
      <alignment horizontal="center"/>
    </xf>
    <xf numFmtId="0" fontId="6" fillId="2" borderId="35" xfId="0" applyFont="1" applyFill="1" applyBorder="1"/>
    <xf numFmtId="173" fontId="6" fillId="2" borderId="35" xfId="2" applyNumberFormat="1" applyFont="1" applyFill="1" applyBorder="1" applyAlignment="1" applyProtection="1">
      <alignment horizontal="center"/>
    </xf>
    <xf numFmtId="42" fontId="6" fillId="2" borderId="35" xfId="2" applyNumberFormat="1" applyFont="1" applyFill="1" applyBorder="1" applyAlignment="1" applyProtection="1">
      <alignment horizontal="center"/>
    </xf>
    <xf numFmtId="0" fontId="6" fillId="2" borderId="36" xfId="0" applyFont="1" applyFill="1" applyBorder="1"/>
    <xf numFmtId="37" fontId="14" fillId="2" borderId="14" xfId="1" applyNumberFormat="1" applyFont="1" applyFill="1" applyBorder="1" applyAlignment="1" applyProtection="1">
      <alignment horizontal="center" vertical="center"/>
    </xf>
    <xf numFmtId="173" fontId="14" fillId="2" borderId="14" xfId="2" applyNumberFormat="1" applyFont="1" applyFill="1" applyBorder="1" applyAlignment="1" applyProtection="1">
      <alignment horizontal="center" vertical="center"/>
      <protection locked="0"/>
    </xf>
    <xf numFmtId="166" fontId="0" fillId="0" borderId="14" xfId="0" applyNumberFormat="1" applyBorder="1" applyProtection="1">
      <protection locked="0"/>
    </xf>
    <xf numFmtId="0" fontId="0" fillId="0" borderId="14" xfId="0" applyBorder="1" applyProtection="1">
      <protection locked="0"/>
    </xf>
    <xf numFmtId="42" fontId="14" fillId="0" borderId="14" xfId="2" applyNumberFormat="1" applyFont="1" applyBorder="1" applyAlignment="1" applyProtection="1">
      <alignment horizontal="center" vertical="center"/>
      <protection locked="0"/>
    </xf>
    <xf numFmtId="37" fontId="14" fillId="2" borderId="14" xfId="1" applyNumberFormat="1" applyFont="1" applyFill="1" applyBorder="1" applyAlignment="1" applyProtection="1">
      <alignment horizontal="center"/>
    </xf>
    <xf numFmtId="37" fontId="14" fillId="2" borderId="76" xfId="1" applyNumberFormat="1" applyFont="1" applyFill="1" applyBorder="1" applyAlignment="1" applyProtection="1">
      <alignment horizontal="center"/>
    </xf>
    <xf numFmtId="173" fontId="14" fillId="2" borderId="76" xfId="2" applyNumberFormat="1" applyFont="1" applyFill="1" applyBorder="1" applyAlignment="1" applyProtection="1">
      <alignment horizontal="center" vertical="center"/>
      <protection locked="0"/>
    </xf>
    <xf numFmtId="42" fontId="14" fillId="0" borderId="76" xfId="2" applyNumberFormat="1" applyFont="1" applyBorder="1" applyAlignment="1" applyProtection="1">
      <alignment horizontal="center" vertical="center"/>
      <protection locked="0"/>
    </xf>
    <xf numFmtId="0" fontId="14" fillId="0" borderId="34" xfId="0" applyFont="1" applyBorder="1" applyAlignment="1" applyProtection="1">
      <alignment horizontal="center"/>
      <protection locked="0"/>
    </xf>
    <xf numFmtId="0" fontId="14" fillId="0" borderId="99" xfId="0" applyFont="1" applyBorder="1" applyAlignment="1" applyProtection="1">
      <alignment horizontal="center" vertical="center"/>
      <protection locked="0"/>
    </xf>
    <xf numFmtId="166" fontId="0" fillId="0" borderId="99" xfId="0" applyNumberFormat="1" applyBorder="1" applyProtection="1">
      <protection locked="0"/>
    </xf>
    <xf numFmtId="0" fontId="14" fillId="0" borderId="121" xfId="0" applyFont="1" applyBorder="1" applyAlignment="1" applyProtection="1">
      <alignment horizontal="center" vertical="center"/>
      <protection locked="0"/>
    </xf>
    <xf numFmtId="164" fontId="0" fillId="0" borderId="76" xfId="1" applyNumberFormat="1" applyFont="1" applyBorder="1" applyProtection="1">
      <protection locked="0"/>
    </xf>
    <xf numFmtId="3" fontId="14" fillId="0" borderId="35" xfId="1" applyNumberFormat="1" applyFont="1" applyBorder="1" applyAlignment="1" applyProtection="1">
      <alignment horizontal="center"/>
      <protection locked="0"/>
    </xf>
    <xf numFmtId="0" fontId="14" fillId="0" borderId="77" xfId="0" applyFont="1" applyBorder="1" applyAlignment="1" applyProtection="1">
      <alignment horizontal="center"/>
      <protection locked="0"/>
    </xf>
    <xf numFmtId="166" fontId="0" fillId="0" borderId="77" xfId="0" applyNumberFormat="1" applyBorder="1" applyProtection="1">
      <protection locked="0"/>
    </xf>
    <xf numFmtId="0" fontId="0" fillId="0" borderId="34" xfId="0" applyBorder="1" applyProtection="1">
      <protection locked="0"/>
    </xf>
    <xf numFmtId="176" fontId="14" fillId="7" borderId="124" xfId="0" applyNumberFormat="1" applyFont="1" applyFill="1" applyBorder="1" applyAlignment="1" applyProtection="1">
      <alignment horizontal="center" vertical="center"/>
      <protection locked="0"/>
    </xf>
    <xf numFmtId="176" fontId="14" fillId="7" borderId="14" xfId="0" applyNumberFormat="1" applyFont="1" applyFill="1" applyBorder="1" applyAlignment="1" applyProtection="1">
      <alignment horizontal="center" vertical="center"/>
      <protection locked="0"/>
    </xf>
    <xf numFmtId="0" fontId="14" fillId="0" borderId="13" xfId="0" applyFont="1" applyBorder="1" applyProtection="1">
      <protection locked="0"/>
    </xf>
    <xf numFmtId="164" fontId="14" fillId="0" borderId="14" xfId="1" applyNumberFormat="1" applyFont="1" applyBorder="1" applyProtection="1">
      <protection locked="0"/>
    </xf>
    <xf numFmtId="166" fontId="14" fillId="0" borderId="14" xfId="0" applyNumberFormat="1" applyFont="1" applyBorder="1" applyProtection="1">
      <protection locked="0"/>
    </xf>
    <xf numFmtId="0" fontId="14" fillId="0" borderId="19" xfId="0" applyFont="1" applyBorder="1" applyProtection="1">
      <protection locked="0"/>
    </xf>
    <xf numFmtId="3" fontId="0" fillId="0" borderId="0" xfId="0" applyNumberFormat="1"/>
    <xf numFmtId="0" fontId="6" fillId="2" borderId="125" xfId="0" applyFont="1" applyFill="1" applyBorder="1" applyAlignment="1">
      <alignment horizontal="center" vertical="center"/>
    </xf>
    <xf numFmtId="0" fontId="6" fillId="2" borderId="126" xfId="0" applyFont="1" applyFill="1" applyBorder="1" applyAlignment="1">
      <alignment horizontal="center" vertical="center" wrapText="1"/>
    </xf>
    <xf numFmtId="164" fontId="6" fillId="2" borderId="127" xfId="1" applyNumberFormat="1" applyFont="1" applyFill="1" applyBorder="1" applyAlignment="1" applyProtection="1">
      <alignment horizontal="center" vertical="center" wrapText="1"/>
    </xf>
    <xf numFmtId="0" fontId="6" fillId="2" borderId="127" xfId="0" applyFont="1" applyFill="1" applyBorder="1" applyAlignment="1">
      <alignment horizontal="center" vertical="center" wrapText="1"/>
    </xf>
    <xf numFmtId="166" fontId="6" fillId="2" borderId="128" xfId="0" applyNumberFormat="1" applyFont="1" applyFill="1" applyBorder="1" applyAlignment="1">
      <alignment horizontal="center" vertical="center" wrapText="1"/>
    </xf>
    <xf numFmtId="170" fontId="6" fillId="2" borderId="128" xfId="0" applyNumberFormat="1" applyFont="1" applyFill="1" applyBorder="1" applyAlignment="1">
      <alignment horizontal="center" vertical="center" wrapText="1"/>
    </xf>
    <xf numFmtId="0" fontId="6" fillId="2" borderId="129" xfId="0" applyFont="1" applyFill="1" applyBorder="1" applyAlignment="1">
      <alignment horizontal="center" vertical="center" wrapText="1"/>
    </xf>
    <xf numFmtId="0" fontId="14" fillId="0" borderId="18" xfId="0" applyFont="1" applyBorder="1" applyProtection="1">
      <protection locked="0"/>
    </xf>
    <xf numFmtId="0" fontId="14" fillId="0" borderId="15" xfId="0" applyFont="1" applyBorder="1" applyAlignment="1" applyProtection="1">
      <alignment horizontal="center" vertical="center"/>
      <protection locked="0"/>
    </xf>
    <xf numFmtId="164" fontId="14" fillId="0" borderId="15" xfId="1" applyNumberFormat="1" applyFont="1" applyBorder="1" applyProtection="1">
      <protection locked="0"/>
    </xf>
    <xf numFmtId="37" fontId="14" fillId="2" borderId="15" xfId="1" applyNumberFormat="1" applyFont="1" applyFill="1" applyBorder="1" applyAlignment="1" applyProtection="1">
      <alignment horizontal="center" vertical="center"/>
    </xf>
    <xf numFmtId="173" fontId="14" fillId="2" borderId="15" xfId="2" applyNumberFormat="1" applyFont="1" applyFill="1" applyBorder="1" applyAlignment="1" applyProtection="1">
      <alignment horizontal="center" vertical="center"/>
      <protection locked="0"/>
    </xf>
    <xf numFmtId="166" fontId="14" fillId="0" borderId="15" xfId="0" applyNumberFormat="1" applyFont="1" applyBorder="1" applyProtection="1">
      <protection locked="0"/>
    </xf>
    <xf numFmtId="0" fontId="14" fillId="0" borderId="16" xfId="0" applyFont="1" applyBorder="1" applyProtection="1">
      <protection locked="0"/>
    </xf>
    <xf numFmtId="42" fontId="14" fillId="2" borderId="131" xfId="2" applyNumberFormat="1" applyFont="1" applyFill="1" applyBorder="1" applyAlignment="1" applyProtection="1">
      <alignment horizontal="center" vertical="center"/>
    </xf>
    <xf numFmtId="42" fontId="14" fillId="2" borderId="132" xfId="2" applyNumberFormat="1" applyFont="1" applyFill="1" applyBorder="1" applyAlignment="1" applyProtection="1">
      <alignment horizontal="center" vertical="center"/>
    </xf>
    <xf numFmtId="42" fontId="14" fillId="2" borderId="53" xfId="2" applyNumberFormat="1" applyFont="1" applyFill="1" applyBorder="1" applyAlignment="1" applyProtection="1">
      <alignment horizontal="center" vertical="center"/>
    </xf>
    <xf numFmtId="42" fontId="14" fillId="2" borderId="133" xfId="2" applyNumberFormat="1" applyFont="1" applyFill="1" applyBorder="1" applyAlignment="1" applyProtection="1">
      <alignment horizontal="center" vertical="center"/>
    </xf>
    <xf numFmtId="0" fontId="6" fillId="5" borderId="134" xfId="0" applyFont="1" applyFill="1" applyBorder="1" applyAlignment="1">
      <alignment horizontal="center" vertical="center" wrapText="1"/>
    </xf>
    <xf numFmtId="3" fontId="6" fillId="2" borderId="73" xfId="0" applyNumberFormat="1" applyFont="1" applyFill="1" applyBorder="1" applyAlignment="1" applyProtection="1">
      <alignment horizontal="center" vertical="center" wrapText="1"/>
      <protection locked="0"/>
    </xf>
    <xf numFmtId="1" fontId="6" fillId="2" borderId="73" xfId="0" applyNumberFormat="1" applyFont="1" applyFill="1" applyBorder="1" applyAlignment="1" applyProtection="1">
      <alignment horizontal="center" vertical="center" wrapText="1"/>
      <protection locked="0"/>
    </xf>
    <xf numFmtId="42" fontId="2" fillId="5" borderId="59" xfId="0" applyNumberFormat="1" applyFont="1" applyFill="1" applyBorder="1" applyAlignment="1">
      <alignment vertical="center"/>
    </xf>
    <xf numFmtId="42" fontId="2" fillId="5" borderId="135" xfId="0" applyNumberFormat="1" applyFont="1" applyFill="1" applyBorder="1" applyAlignment="1">
      <alignment vertical="center"/>
    </xf>
    <xf numFmtId="42" fontId="2" fillId="5" borderId="136" xfId="0" applyNumberFormat="1" applyFont="1" applyFill="1" applyBorder="1" applyAlignment="1">
      <alignment vertical="center"/>
    </xf>
    <xf numFmtId="37" fontId="2" fillId="5" borderId="84" xfId="0" applyNumberFormat="1" applyFont="1" applyFill="1" applyBorder="1" applyAlignment="1">
      <alignment horizontal="right" vertical="center" indent="1"/>
    </xf>
    <xf numFmtId="42" fontId="2" fillId="5" borderId="11" xfId="0" applyNumberFormat="1" applyFont="1" applyFill="1" applyBorder="1" applyAlignment="1">
      <alignment vertical="center"/>
    </xf>
    <xf numFmtId="41" fontId="0" fillId="2" borderId="114" xfId="0" applyNumberFormat="1" applyFill="1" applyBorder="1" applyAlignment="1">
      <alignment horizontal="right" vertical="center" indent="1"/>
    </xf>
    <xf numFmtId="41" fontId="0" fillId="2" borderId="0" xfId="0" applyNumberFormat="1" applyFill="1" applyAlignment="1">
      <alignment horizontal="right" vertical="center" indent="1"/>
    </xf>
    <xf numFmtId="0" fontId="2" fillId="5" borderId="60" xfId="0" applyFont="1" applyFill="1" applyBorder="1" applyAlignment="1">
      <alignment horizontal="left" vertical="center"/>
    </xf>
    <xf numFmtId="42" fontId="2" fillId="5" borderId="130" xfId="0" applyNumberFormat="1" applyFont="1" applyFill="1" applyBorder="1" applyAlignment="1">
      <alignment vertical="center"/>
    </xf>
    <xf numFmtId="0" fontId="11" fillId="5" borderId="0" xfId="0" applyFont="1" applyFill="1"/>
    <xf numFmtId="179" fontId="3" fillId="0" borderId="47" xfId="4" applyNumberFormat="1" applyFont="1" applyBorder="1" applyAlignment="1" applyProtection="1">
      <alignment horizontal="center"/>
      <protection locked="0"/>
    </xf>
    <xf numFmtId="179" fontId="3" fillId="0" borderId="46" xfId="4" applyNumberFormat="1" applyFont="1" applyBorder="1" applyAlignment="1" applyProtection="1">
      <alignment horizontal="center"/>
      <protection locked="0"/>
    </xf>
    <xf numFmtId="0" fontId="36" fillId="13" borderId="0" xfId="0" applyFont="1" applyFill="1"/>
    <xf numFmtId="0" fontId="0" fillId="13" borderId="0" xfId="0" applyFill="1"/>
    <xf numFmtId="164" fontId="14" fillId="7" borderId="101" xfId="1" applyNumberFormat="1" applyFont="1" applyFill="1" applyBorder="1" applyAlignment="1" applyProtection="1">
      <alignment horizontal="center" vertical="center"/>
      <protection locked="0"/>
    </xf>
    <xf numFmtId="180" fontId="14" fillId="0" borderId="15" xfId="1" applyNumberFormat="1" applyFont="1" applyBorder="1" applyProtection="1">
      <protection locked="0"/>
    </xf>
    <xf numFmtId="0" fontId="2" fillId="2" borderId="17" xfId="0" applyFont="1" applyFill="1" applyBorder="1" applyAlignment="1">
      <alignment horizontal="center" vertical="center" wrapText="1"/>
    </xf>
    <xf numFmtId="0" fontId="2" fillId="2" borderId="8" xfId="0" applyFont="1" applyFill="1" applyBorder="1" applyAlignment="1">
      <alignment horizontal="center" vertical="center" wrapText="1"/>
    </xf>
    <xf numFmtId="181" fontId="0" fillId="0" borderId="75" xfId="1" applyNumberFormat="1" applyFont="1" applyBorder="1" applyProtection="1">
      <protection locked="0"/>
    </xf>
    <xf numFmtId="41" fontId="0" fillId="2" borderId="86" xfId="0" applyNumberFormat="1" applyFill="1" applyBorder="1" applyAlignment="1">
      <alignment horizontal="center" vertical="center" indent="1"/>
    </xf>
    <xf numFmtId="41" fontId="0" fillId="2" borderId="87" xfId="0" applyNumberFormat="1" applyFill="1" applyBorder="1" applyAlignment="1">
      <alignment horizontal="center" vertical="center" indent="1"/>
    </xf>
    <xf numFmtId="165" fontId="0" fillId="2" borderId="69" xfId="2" applyNumberFormat="1" applyFont="1" applyFill="1" applyBorder="1" applyAlignment="1">
      <alignment horizontal="right" vertical="center"/>
    </xf>
    <xf numFmtId="41" fontId="0" fillId="2" borderId="38" xfId="0" applyNumberFormat="1" applyFill="1" applyBorder="1" applyAlignment="1">
      <alignment horizontal="right" vertical="center"/>
    </xf>
    <xf numFmtId="41" fontId="0" fillId="2" borderId="64" xfId="0" applyNumberFormat="1" applyFill="1" applyBorder="1" applyAlignment="1">
      <alignment horizontal="right" vertical="center"/>
    </xf>
    <xf numFmtId="41" fontId="0" fillId="2" borderId="85" xfId="0" applyNumberFormat="1" applyFill="1" applyBorder="1" applyAlignment="1">
      <alignment horizontal="right" vertical="center"/>
    </xf>
    <xf numFmtId="41" fontId="0" fillId="2" borderId="86" xfId="0" applyNumberFormat="1" applyFill="1" applyBorder="1" applyAlignment="1">
      <alignment horizontal="right" vertical="center"/>
    </xf>
    <xf numFmtId="41" fontId="0" fillId="2" borderId="87" xfId="0" applyNumberFormat="1" applyFill="1" applyBorder="1" applyAlignment="1">
      <alignment horizontal="right" vertical="center"/>
    </xf>
    <xf numFmtId="0" fontId="2" fillId="2" borderId="70" xfId="0" applyFont="1" applyFill="1" applyBorder="1" applyAlignment="1">
      <alignment horizontal="center" vertical="center"/>
    </xf>
    <xf numFmtId="0" fontId="2" fillId="2" borderId="71" xfId="0" applyFont="1" applyFill="1" applyBorder="1" applyAlignment="1">
      <alignment horizontal="center" vertical="center"/>
    </xf>
    <xf numFmtId="0" fontId="2" fillId="2" borderId="72" xfId="0" applyFont="1" applyFill="1" applyBorder="1" applyAlignment="1">
      <alignment horizontal="center" vertical="center"/>
    </xf>
    <xf numFmtId="44" fontId="0" fillId="2" borderId="85" xfId="0" applyNumberFormat="1" applyFont="1" applyFill="1" applyBorder="1" applyAlignment="1">
      <alignment horizontal="right" vertical="center" wrapText="1"/>
    </xf>
    <xf numFmtId="44" fontId="0" fillId="2" borderId="86" xfId="0" applyNumberFormat="1" applyFont="1" applyFill="1" applyBorder="1" applyAlignment="1">
      <alignment horizontal="right" vertical="center" wrapText="1"/>
    </xf>
    <xf numFmtId="44" fontId="0" fillId="2" borderId="87" xfId="0" applyNumberFormat="1" applyFont="1" applyFill="1" applyBorder="1" applyAlignment="1">
      <alignment horizontal="right" vertical="center" wrapText="1"/>
    </xf>
    <xf numFmtId="42" fontId="6" fillId="5" borderId="12" xfId="2" applyNumberFormat="1" applyFont="1" applyFill="1" applyBorder="1" applyAlignment="1" applyProtection="1">
      <alignment horizontal="center" vertical="center"/>
      <protection locked="0"/>
    </xf>
    <xf numFmtId="42" fontId="6" fillId="5" borderId="8" xfId="2" applyNumberFormat="1" applyFont="1" applyFill="1" applyBorder="1" applyAlignment="1" applyProtection="1">
      <alignment horizontal="center" vertical="center"/>
      <protection locked="0"/>
    </xf>
    <xf numFmtId="42" fontId="6" fillId="5" borderId="119" xfId="2" applyNumberFormat="1" applyFont="1" applyFill="1" applyBorder="1" applyAlignment="1" applyProtection="1">
      <alignment horizontal="center" vertical="center"/>
      <protection locked="0"/>
    </xf>
    <xf numFmtId="0" fontId="35" fillId="13" borderId="0" xfId="0" applyFont="1" applyFill="1"/>
    <xf numFmtId="0" fontId="35" fillId="4" borderId="111" xfId="0" applyFont="1" applyFill="1" applyBorder="1"/>
    <xf numFmtId="0" fontId="35" fillId="4" borderId="134" xfId="0" applyFont="1" applyFill="1" applyBorder="1"/>
    <xf numFmtId="42" fontId="35" fillId="2" borderId="105" xfId="0" applyNumberFormat="1" applyFont="1" applyFill="1" applyBorder="1"/>
    <xf numFmtId="42" fontId="35" fillId="2" borderId="113" xfId="0" applyNumberFormat="1" applyFont="1" applyFill="1" applyBorder="1"/>
    <xf numFmtId="0" fontId="35" fillId="4" borderId="130" xfId="0" applyFont="1" applyFill="1" applyBorder="1"/>
    <xf numFmtId="42" fontId="35" fillId="2" borderId="114" xfId="0" applyNumberFormat="1" applyFont="1" applyFill="1" applyBorder="1"/>
    <xf numFmtId="3" fontId="35" fillId="2" borderId="134" xfId="0" applyNumberFormat="1" applyFont="1" applyFill="1" applyBorder="1" applyAlignment="1">
      <alignment horizontal="right"/>
    </xf>
    <xf numFmtId="3" fontId="35" fillId="2" borderId="113" xfId="0" applyNumberFormat="1" applyFont="1" applyFill="1" applyBorder="1" applyAlignment="1">
      <alignment horizontal="right"/>
    </xf>
    <xf numFmtId="0" fontId="35" fillId="13" borderId="0" xfId="0" applyFont="1" applyFill="1" applyBorder="1"/>
    <xf numFmtId="0" fontId="35" fillId="4" borderId="59" xfId="0" applyFont="1" applyFill="1" applyBorder="1"/>
    <xf numFmtId="37" fontId="14" fillId="2" borderId="139" xfId="0" applyNumberFormat="1" applyFont="1" applyFill="1" applyBorder="1" applyAlignment="1">
      <alignment horizontal="center" vertical="center"/>
    </xf>
    <xf numFmtId="1" fontId="14" fillId="2" borderId="140" xfId="0" applyNumberFormat="1" applyFont="1" applyFill="1" applyBorder="1" applyAlignment="1">
      <alignment horizontal="center" vertical="center"/>
    </xf>
    <xf numFmtId="176" fontId="35" fillId="2" borderId="130" xfId="0" applyNumberFormat="1" applyFont="1" applyFill="1" applyBorder="1" applyAlignment="1">
      <alignment horizontal="right"/>
    </xf>
    <xf numFmtId="176" fontId="35" fillId="2" borderId="105" xfId="0" applyNumberFormat="1" applyFont="1" applyFill="1" applyBorder="1" applyAlignment="1">
      <alignment horizontal="right"/>
    </xf>
    <xf numFmtId="0" fontId="2" fillId="2" borderId="130" xfId="0" applyFont="1" applyFill="1" applyBorder="1" applyAlignment="1">
      <alignment horizontal="center" vertical="center" wrapText="1"/>
    </xf>
    <xf numFmtId="41" fontId="0" fillId="2" borderId="103" xfId="0" applyNumberFormat="1" applyFill="1" applyBorder="1" applyAlignment="1">
      <alignment horizontal="center" vertical="center" indent="1"/>
    </xf>
    <xf numFmtId="0" fontId="0" fillId="5" borderId="134" xfId="0" applyFill="1" applyBorder="1" applyAlignment="1">
      <alignment horizontal="center"/>
    </xf>
    <xf numFmtId="0" fontId="0" fillId="5" borderId="54" xfId="0" applyFill="1" applyBorder="1" applyAlignment="1">
      <alignment horizontal="center"/>
    </xf>
    <xf numFmtId="0" fontId="0" fillId="5" borderId="49" xfId="0" applyFill="1" applyBorder="1" applyAlignment="1">
      <alignment horizontal="center"/>
    </xf>
    <xf numFmtId="1" fontId="14" fillId="7" borderId="31" xfId="1" applyNumberFormat="1" applyFont="1" applyFill="1" applyBorder="1" applyAlignment="1" applyProtection="1">
      <alignment horizontal="center" vertical="center"/>
      <protection locked="0"/>
    </xf>
    <xf numFmtId="3" fontId="14" fillId="7" borderId="147" xfId="1" applyNumberFormat="1" applyFont="1" applyFill="1" applyBorder="1" applyAlignment="1" applyProtection="1">
      <alignment horizontal="center" vertical="center"/>
      <protection locked="0"/>
    </xf>
    <xf numFmtId="0" fontId="6" fillId="2" borderId="148" xfId="0" applyFont="1" applyFill="1" applyBorder="1" applyAlignment="1">
      <alignment horizontal="center" vertical="center" wrapText="1"/>
    </xf>
    <xf numFmtId="3" fontId="14" fillId="2" borderId="149" xfId="1" applyNumberFormat="1" applyFont="1" applyFill="1" applyBorder="1" applyAlignment="1">
      <alignment horizontal="center" vertical="center"/>
    </xf>
    <xf numFmtId="3" fontId="14" fillId="2" borderId="42" xfId="1" applyNumberFormat="1" applyFont="1" applyFill="1" applyBorder="1" applyAlignment="1">
      <alignment horizontal="center" vertical="center"/>
    </xf>
    <xf numFmtId="3" fontId="14" fillId="2" borderId="150" xfId="1" applyNumberFormat="1" applyFont="1" applyFill="1" applyBorder="1" applyAlignment="1">
      <alignment horizontal="center" vertical="center"/>
    </xf>
    <xf numFmtId="1" fontId="14" fillId="7" borderId="151" xfId="1" applyNumberFormat="1" applyFont="1" applyFill="1" applyBorder="1" applyAlignment="1" applyProtection="1">
      <alignment horizontal="center" vertical="center"/>
      <protection locked="0"/>
    </xf>
    <xf numFmtId="0" fontId="0" fillId="5" borderId="114" xfId="0" applyFill="1" applyBorder="1" applyAlignment="1">
      <alignment horizontal="center"/>
    </xf>
    <xf numFmtId="1" fontId="14" fillId="7" borderId="15" xfId="1" applyNumberFormat="1" applyFont="1" applyFill="1" applyBorder="1" applyAlignment="1" applyProtection="1">
      <alignment horizontal="center" vertical="center"/>
      <protection locked="0"/>
    </xf>
    <xf numFmtId="1" fontId="14" fillId="7" borderId="29" xfId="1" applyNumberFormat="1" applyFont="1" applyFill="1" applyBorder="1" applyAlignment="1" applyProtection="1">
      <alignment horizontal="center" vertical="center"/>
      <protection locked="0"/>
    </xf>
    <xf numFmtId="0" fontId="16" fillId="2" borderId="141" xfId="0" applyFont="1" applyFill="1" applyBorder="1" applyAlignment="1">
      <alignment horizontal="center" vertical="center" wrapText="1"/>
    </xf>
    <xf numFmtId="0" fontId="16" fillId="2" borderId="152" xfId="0" applyFont="1" applyFill="1" applyBorder="1" applyAlignment="1">
      <alignment horizontal="center" vertical="center" wrapText="1"/>
    </xf>
    <xf numFmtId="0" fontId="16" fillId="2" borderId="142" xfId="0" applyFont="1" applyFill="1" applyBorder="1" applyAlignment="1">
      <alignment horizontal="center" vertical="center" wrapText="1"/>
    </xf>
    <xf numFmtId="3" fontId="14" fillId="7" borderId="75" xfId="1" applyNumberFormat="1" applyFont="1" applyFill="1" applyBorder="1" applyAlignment="1" applyProtection="1">
      <alignment horizontal="center" vertical="center"/>
      <protection locked="0"/>
    </xf>
    <xf numFmtId="3" fontId="14" fillId="7" borderId="14" xfId="0" applyNumberFormat="1" applyFont="1" applyFill="1" applyBorder="1" applyAlignment="1" applyProtection="1">
      <alignment horizontal="center" vertical="center"/>
      <protection locked="0"/>
    </xf>
    <xf numFmtId="3" fontId="14" fillId="7" borderId="76" xfId="0" applyNumberFormat="1" applyFont="1" applyFill="1" applyBorder="1" applyAlignment="1" applyProtection="1">
      <alignment horizontal="center" vertical="center"/>
      <protection locked="0"/>
    </xf>
    <xf numFmtId="43" fontId="4" fillId="2" borderId="8" xfId="4" applyFont="1" applyFill="1" applyBorder="1" applyAlignment="1">
      <alignment horizontal="center" vertical="center" wrapText="1"/>
    </xf>
    <xf numFmtId="164" fontId="4" fillId="2" borderId="8" xfId="4" applyNumberFormat="1" applyFont="1" applyFill="1" applyBorder="1" applyAlignment="1">
      <alignment horizontal="center" vertical="center" wrapText="1"/>
    </xf>
    <xf numFmtId="0" fontId="14" fillId="0" borderId="41" xfId="0" applyFont="1" applyBorder="1" applyAlignment="1" applyProtection="1">
      <alignment horizontal="center"/>
      <protection locked="0"/>
    </xf>
    <xf numFmtId="0" fontId="14" fillId="0" borderId="14" xfId="0" applyFont="1" applyBorder="1" applyAlignment="1" applyProtection="1">
      <alignment horizontal="center"/>
      <protection locked="0"/>
    </xf>
    <xf numFmtId="0" fontId="14" fillId="0" borderId="19" xfId="0" applyFont="1" applyBorder="1" applyAlignment="1" applyProtection="1">
      <alignment horizontal="center"/>
      <protection locked="0"/>
    </xf>
    <xf numFmtId="0" fontId="6" fillId="5" borderId="23" xfId="0" applyFont="1" applyFill="1" applyBorder="1" applyAlignment="1">
      <alignment horizontal="center" vertical="center" wrapText="1"/>
    </xf>
    <xf numFmtId="0" fontId="0" fillId="13" borderId="0" xfId="0" applyFill="1" applyAlignment="1">
      <alignment horizontal="left" wrapText="1"/>
    </xf>
    <xf numFmtId="0" fontId="0" fillId="13" borderId="0" xfId="0" applyFill="1" applyAlignment="1">
      <alignment horizontal="left"/>
    </xf>
    <xf numFmtId="0" fontId="33" fillId="10" borderId="0" xfId="0" applyFont="1" applyFill="1" applyAlignment="1">
      <alignment horizontal="center"/>
    </xf>
    <xf numFmtId="0" fontId="34" fillId="11" borderId="0" xfId="0" applyFont="1" applyFill="1" applyAlignment="1">
      <alignment horizontal="center"/>
    </xf>
    <xf numFmtId="0" fontId="35" fillId="12" borderId="0" xfId="0" applyFont="1" applyFill="1" applyAlignment="1">
      <alignment horizontal="center" wrapText="1"/>
    </xf>
    <xf numFmtId="0" fontId="35" fillId="4" borderId="111" xfId="0" applyFont="1" applyFill="1" applyBorder="1" applyAlignment="1">
      <alignment horizontal="center" vertical="center"/>
    </xf>
    <xf numFmtId="0" fontId="35" fillId="4" borderId="55" xfId="0" applyFont="1" applyFill="1" applyBorder="1" applyAlignment="1">
      <alignment horizontal="center" vertical="center"/>
    </xf>
    <xf numFmtId="42" fontId="35" fillId="2" borderId="111" xfId="0" applyNumberFormat="1" applyFont="1" applyFill="1" applyBorder="1" applyAlignment="1">
      <alignment horizontal="center" vertical="center"/>
    </xf>
    <xf numFmtId="42" fontId="35" fillId="2" borderId="113" xfId="0" applyNumberFormat="1" applyFont="1" applyFill="1" applyBorder="1" applyAlignment="1">
      <alignment horizontal="center" vertical="center"/>
    </xf>
    <xf numFmtId="42" fontId="35" fillId="2" borderId="55" xfId="0" applyNumberFormat="1" applyFont="1" applyFill="1" applyBorder="1" applyAlignment="1">
      <alignment horizontal="center" vertical="center"/>
    </xf>
    <xf numFmtId="42" fontId="35" fillId="2" borderId="115" xfId="0" applyNumberFormat="1" applyFont="1" applyFill="1" applyBorder="1" applyAlignment="1">
      <alignment horizontal="center" vertical="center"/>
    </xf>
    <xf numFmtId="0" fontId="13" fillId="4" borderId="0" xfId="0" applyFont="1" applyFill="1" applyAlignment="1">
      <alignment horizontal="center" vertical="center"/>
    </xf>
    <xf numFmtId="0" fontId="26" fillId="9" borderId="0" xfId="0" applyFont="1" applyFill="1" applyAlignment="1">
      <alignment horizontal="center"/>
    </xf>
    <xf numFmtId="0" fontId="11" fillId="5" borderId="0" xfId="0" applyFont="1" applyFill="1" applyAlignment="1">
      <alignment horizontal="center"/>
    </xf>
    <xf numFmtId="0" fontId="2" fillId="5" borderId="111" xfId="0" applyFont="1" applyFill="1" applyBorder="1" applyAlignment="1">
      <alignment horizontal="center" vertical="center"/>
    </xf>
    <xf numFmtId="0" fontId="2" fillId="5" borderId="113" xfId="0" applyFont="1" applyFill="1" applyBorder="1" applyAlignment="1">
      <alignment horizontal="center" vertical="center"/>
    </xf>
    <xf numFmtId="42" fontId="0" fillId="2" borderId="59" xfId="0" applyNumberFormat="1" applyFill="1" applyBorder="1" applyAlignment="1">
      <alignment horizontal="center"/>
    </xf>
    <xf numFmtId="42" fontId="0" fillId="2" borderId="105" xfId="0" applyNumberFormat="1" applyFill="1" applyBorder="1" applyAlignment="1">
      <alignment horizontal="center"/>
    </xf>
    <xf numFmtId="166" fontId="2" fillId="2" borderId="118" xfId="0" applyNumberFormat="1" applyFont="1" applyFill="1" applyBorder="1" applyAlignment="1">
      <alignment horizontal="center" vertical="center" wrapText="1"/>
    </xf>
    <xf numFmtId="166" fontId="2" fillId="2" borderId="23" xfId="0" applyNumberFormat="1" applyFont="1" applyFill="1" applyBorder="1" applyAlignment="1">
      <alignment horizontal="center" vertical="center" wrapText="1"/>
    </xf>
    <xf numFmtId="42" fontId="2" fillId="2" borderId="22" xfId="0" applyNumberFormat="1" applyFont="1" applyFill="1" applyBorder="1" applyAlignment="1">
      <alignment horizontal="center" vertical="center" wrapText="1"/>
    </xf>
    <xf numFmtId="42" fontId="2" fillId="2" borderId="23" xfId="0" applyNumberFormat="1" applyFont="1" applyFill="1" applyBorder="1" applyAlignment="1">
      <alignment horizontal="center" vertical="center" wrapText="1"/>
    </xf>
    <xf numFmtId="42" fontId="2" fillId="5" borderId="22" xfId="0" applyNumberFormat="1" applyFont="1" applyFill="1" applyBorder="1" applyAlignment="1">
      <alignment horizontal="center" vertical="center"/>
    </xf>
    <xf numFmtId="42" fontId="2" fillId="5" borderId="23" xfId="0" applyNumberFormat="1" applyFont="1" applyFill="1" applyBorder="1" applyAlignment="1">
      <alignment horizontal="center" vertical="center"/>
    </xf>
    <xf numFmtId="0" fontId="37" fillId="5" borderId="22" xfId="0" applyFont="1" applyFill="1" applyBorder="1" applyAlignment="1">
      <alignment horizontal="center"/>
    </xf>
    <xf numFmtId="0" fontId="2" fillId="5" borderId="26" xfId="0" applyFont="1" applyFill="1" applyBorder="1" applyAlignment="1">
      <alignment horizontal="center"/>
    </xf>
    <xf numFmtId="0" fontId="2" fillId="5" borderId="23" xfId="0" applyFont="1" applyFill="1" applyBorder="1" applyAlignment="1">
      <alignment horizontal="center"/>
    </xf>
    <xf numFmtId="0" fontId="2" fillId="5" borderId="22" xfId="0" applyFont="1" applyFill="1" applyBorder="1" applyAlignment="1">
      <alignment horizontal="center"/>
    </xf>
    <xf numFmtId="0" fontId="11" fillId="5" borderId="22" xfId="0" applyFont="1" applyFill="1" applyBorder="1" applyAlignment="1">
      <alignment horizontal="center" wrapText="1"/>
    </xf>
    <xf numFmtId="0" fontId="11" fillId="5" borderId="26" xfId="0" applyFont="1" applyFill="1" applyBorder="1" applyAlignment="1">
      <alignment horizontal="center" wrapText="1"/>
    </xf>
    <xf numFmtId="0" fontId="11" fillId="5" borderId="9" xfId="0" applyFont="1" applyFill="1" applyBorder="1" applyAlignment="1">
      <alignment horizontal="center" wrapText="1"/>
    </xf>
    <xf numFmtId="0" fontId="11" fillId="5" borderId="2" xfId="0" applyFont="1" applyFill="1" applyBorder="1" applyAlignment="1">
      <alignment horizontal="center" wrapText="1"/>
    </xf>
    <xf numFmtId="0" fontId="11" fillId="5" borderId="22" xfId="0" applyFont="1" applyFill="1" applyBorder="1" applyAlignment="1">
      <alignment horizontal="center"/>
    </xf>
    <xf numFmtId="0" fontId="11" fillId="5" borderId="26" xfId="0" applyFont="1" applyFill="1" applyBorder="1" applyAlignment="1">
      <alignment horizontal="center"/>
    </xf>
    <xf numFmtId="0" fontId="11" fillId="5" borderId="9" xfId="0" applyFont="1" applyFill="1" applyBorder="1" applyAlignment="1">
      <alignment horizontal="center"/>
    </xf>
    <xf numFmtId="0" fontId="11" fillId="5" borderId="23" xfId="0" applyFont="1" applyFill="1" applyBorder="1" applyAlignment="1">
      <alignment horizontal="center"/>
    </xf>
    <xf numFmtId="0" fontId="2" fillId="2" borderId="141" xfId="0" applyFont="1" applyFill="1" applyBorder="1" applyAlignment="1">
      <alignment horizontal="center" vertical="center" wrapText="1"/>
    </xf>
    <xf numFmtId="0" fontId="2" fillId="2" borderId="142" xfId="0" applyFont="1" applyFill="1" applyBorder="1" applyAlignment="1">
      <alignment horizontal="center" vertical="center" wrapText="1"/>
    </xf>
    <xf numFmtId="165" fontId="0" fillId="7" borderId="143" xfId="0" applyNumberFormat="1" applyFill="1" applyBorder="1" applyAlignment="1" applyProtection="1">
      <alignment horizontal="center" vertical="center"/>
      <protection locked="0"/>
    </xf>
    <xf numFmtId="165" fontId="0" fillId="7" borderId="144" xfId="0" applyNumberFormat="1" applyFill="1" applyBorder="1" applyAlignment="1" applyProtection="1">
      <alignment horizontal="center" vertical="center"/>
      <protection locked="0"/>
    </xf>
    <xf numFmtId="165" fontId="0" fillId="7" borderId="138" xfId="0" applyNumberFormat="1" applyFill="1" applyBorder="1" applyAlignment="1" applyProtection="1">
      <alignment horizontal="center" vertical="center"/>
      <protection locked="0"/>
    </xf>
    <xf numFmtId="165" fontId="0" fillId="7" borderId="120" xfId="0" applyNumberFormat="1" applyFill="1" applyBorder="1" applyAlignment="1" applyProtection="1">
      <alignment horizontal="center" vertical="center"/>
      <protection locked="0"/>
    </xf>
    <xf numFmtId="41" fontId="0" fillId="7" borderId="137" xfId="0" applyNumberFormat="1" applyFill="1" applyBorder="1" applyAlignment="1" applyProtection="1">
      <alignment horizontal="center" vertical="center"/>
      <protection locked="0"/>
    </xf>
    <xf numFmtId="41" fontId="0" fillId="7" borderId="116" xfId="0" applyNumberFormat="1" applyFill="1" applyBorder="1" applyAlignment="1" applyProtection="1">
      <alignment horizontal="center" vertical="center"/>
      <protection locked="0"/>
    </xf>
    <xf numFmtId="41" fontId="0" fillId="7" borderId="145" xfId="0" applyNumberFormat="1" applyFill="1" applyBorder="1" applyAlignment="1" applyProtection="1">
      <alignment horizontal="center" vertical="center"/>
      <protection locked="0"/>
    </xf>
    <xf numFmtId="41" fontId="0" fillId="7" borderId="146" xfId="0" applyNumberFormat="1" applyFill="1" applyBorder="1" applyAlignment="1" applyProtection="1">
      <alignment horizontal="center" vertical="center"/>
      <protection locked="0"/>
    </xf>
    <xf numFmtId="42" fontId="2" fillId="5" borderId="141" xfId="0" applyNumberFormat="1" applyFont="1" applyFill="1" applyBorder="1" applyAlignment="1">
      <alignment horizontal="center" vertical="center"/>
    </xf>
    <xf numFmtId="42" fontId="2" fillId="5" borderId="142" xfId="0" applyNumberFormat="1" applyFont="1" applyFill="1" applyBorder="1" applyAlignment="1">
      <alignment horizontal="center" vertical="center"/>
    </xf>
    <xf numFmtId="0" fontId="6" fillId="2" borderId="54" xfId="0" applyFont="1" applyFill="1" applyBorder="1" applyAlignment="1">
      <alignment horizontal="center" vertical="center"/>
    </xf>
    <xf numFmtId="0" fontId="6" fillId="2" borderId="49" xfId="0" applyFont="1" applyFill="1" applyBorder="1" applyAlignment="1">
      <alignment horizontal="center" vertical="center"/>
    </xf>
    <xf numFmtId="0" fontId="6" fillId="5" borderId="59" xfId="0" applyFont="1" applyFill="1" applyBorder="1" applyAlignment="1">
      <alignment horizontal="center"/>
    </xf>
    <xf numFmtId="0" fontId="6" fillId="5" borderId="104" xfId="0" applyFont="1" applyFill="1" applyBorder="1" applyAlignment="1">
      <alignment horizontal="center"/>
    </xf>
    <xf numFmtId="0" fontId="6" fillId="5" borderId="112" xfId="0" applyFont="1" applyFill="1" applyBorder="1" applyAlignment="1">
      <alignment horizontal="center"/>
    </xf>
    <xf numFmtId="0" fontId="6" fillId="5" borderId="105" xfId="0" applyFont="1" applyFill="1" applyBorder="1" applyAlignment="1">
      <alignment horizontal="center"/>
    </xf>
    <xf numFmtId="0" fontId="6" fillId="2" borderId="59" xfId="0" applyFont="1" applyFill="1" applyBorder="1" applyAlignment="1">
      <alignment horizontal="center" vertical="center" wrapText="1"/>
    </xf>
    <xf numFmtId="0" fontId="6" fillId="2" borderId="104" xfId="0" applyFont="1" applyFill="1" applyBorder="1" applyAlignment="1">
      <alignment horizontal="center" vertical="center" wrapText="1"/>
    </xf>
    <xf numFmtId="0" fontId="6" fillId="2" borderId="107" xfId="0" applyFont="1" applyFill="1" applyBorder="1" applyAlignment="1">
      <alignment horizontal="center" vertical="center" wrapText="1"/>
    </xf>
    <xf numFmtId="0" fontId="6" fillId="2" borderId="17" xfId="0" applyFont="1" applyFill="1" applyBorder="1" applyAlignment="1">
      <alignment horizontal="center" vertical="center"/>
    </xf>
    <xf numFmtId="0" fontId="6" fillId="2" borderId="0" xfId="0" applyFont="1" applyFill="1" applyBorder="1" applyAlignment="1">
      <alignment horizontal="center" vertical="center"/>
    </xf>
    <xf numFmtId="0" fontId="6" fillId="2" borderId="0" xfId="0" applyFont="1" applyFill="1" applyAlignment="1">
      <alignment horizontal="center" vertical="center"/>
    </xf>
    <xf numFmtId="0" fontId="6" fillId="2" borderId="3" xfId="0" applyFont="1" applyFill="1" applyBorder="1" applyAlignment="1">
      <alignment horizontal="center" vertical="center"/>
    </xf>
    <xf numFmtId="0" fontId="20" fillId="5" borderId="59" xfId="0" applyFont="1" applyFill="1" applyBorder="1" applyAlignment="1">
      <alignment horizontal="center" vertical="center"/>
    </xf>
    <xf numFmtId="0" fontId="20" fillId="5" borderId="104" xfId="0" applyFont="1" applyFill="1" applyBorder="1" applyAlignment="1">
      <alignment horizontal="center" vertical="center"/>
    </xf>
    <xf numFmtId="0" fontId="20" fillId="5" borderId="105" xfId="0" applyFont="1" applyFill="1" applyBorder="1" applyAlignment="1">
      <alignment horizontal="center" vertical="center"/>
    </xf>
    <xf numFmtId="0" fontId="21" fillId="9" borderId="111" xfId="0" applyFont="1" applyFill="1" applyBorder="1" applyAlignment="1">
      <alignment vertical="top" wrapText="1"/>
    </xf>
    <xf numFmtId="0" fontId="28" fillId="9" borderId="112" xfId="0" applyFont="1" applyFill="1" applyBorder="1" applyAlignment="1">
      <alignment vertical="top" wrapText="1"/>
    </xf>
    <xf numFmtId="0" fontId="28" fillId="9" borderId="113" xfId="0" applyFont="1" applyFill="1" applyBorder="1" applyAlignment="1">
      <alignment vertical="top" wrapText="1"/>
    </xf>
    <xf numFmtId="0" fontId="28" fillId="9" borderId="61" xfId="0" applyFont="1" applyFill="1" applyBorder="1" applyAlignment="1">
      <alignment vertical="top" wrapText="1"/>
    </xf>
    <xf numFmtId="0" fontId="28" fillId="9" borderId="0" xfId="0" applyFont="1" applyFill="1" applyAlignment="1">
      <alignment vertical="top" wrapText="1"/>
    </xf>
    <xf numFmtId="0" fontId="28" fillId="9" borderId="114" xfId="0" applyFont="1" applyFill="1" applyBorder="1" applyAlignment="1">
      <alignment vertical="top" wrapText="1"/>
    </xf>
    <xf numFmtId="0" fontId="28" fillId="9" borderId="55" xfId="0" applyFont="1" applyFill="1" applyBorder="1" applyAlignment="1">
      <alignment vertical="top" wrapText="1"/>
    </xf>
    <xf numFmtId="0" fontId="28" fillId="9" borderId="56" xfId="0" applyFont="1" applyFill="1" applyBorder="1" applyAlignment="1">
      <alignment vertical="top" wrapText="1"/>
    </xf>
    <xf numFmtId="0" fontId="28" fillId="9" borderId="115" xfId="0" applyFont="1" applyFill="1" applyBorder="1" applyAlignment="1">
      <alignment vertical="top" wrapText="1"/>
    </xf>
    <xf numFmtId="0" fontId="29" fillId="8" borderId="59" xfId="0" applyFont="1" applyFill="1" applyBorder="1" applyAlignment="1">
      <alignment horizontal="center"/>
    </xf>
    <xf numFmtId="0" fontId="20" fillId="8" borderId="104" xfId="0" applyFont="1" applyFill="1" applyBorder="1" applyAlignment="1">
      <alignment horizontal="center"/>
    </xf>
    <xf numFmtId="0" fontId="20" fillId="8" borderId="111" xfId="0" applyFont="1" applyFill="1" applyBorder="1" applyAlignment="1">
      <alignment horizontal="center" wrapText="1"/>
    </xf>
    <xf numFmtId="0" fontId="20" fillId="8" borderId="112" xfId="0" applyFont="1" applyFill="1" applyBorder="1" applyAlignment="1">
      <alignment horizontal="center" wrapText="1"/>
    </xf>
    <xf numFmtId="0" fontId="20" fillId="8" borderId="113" xfId="0" applyFont="1" applyFill="1" applyBorder="1" applyAlignment="1">
      <alignment horizontal="center" wrapText="1"/>
    </xf>
    <xf numFmtId="0" fontId="6" fillId="5" borderId="24" xfId="0" applyFont="1" applyFill="1" applyBorder="1" applyAlignment="1">
      <alignment horizontal="center" vertical="center"/>
    </xf>
    <xf numFmtId="0" fontId="6" fillId="5" borderId="27" xfId="0" applyFont="1" applyFill="1" applyBorder="1" applyAlignment="1">
      <alignment horizontal="center" vertical="center"/>
    </xf>
    <xf numFmtId="0" fontId="6" fillId="5" borderId="25" xfId="0" applyFont="1" applyFill="1" applyBorder="1" applyAlignment="1">
      <alignment horizontal="center" vertical="center"/>
    </xf>
    <xf numFmtId="0" fontId="21" fillId="9" borderId="61" xfId="0" applyFont="1" applyFill="1" applyBorder="1" applyAlignment="1">
      <alignment vertical="center" wrapText="1"/>
    </xf>
    <xf numFmtId="0" fontId="24" fillId="9" borderId="0" xfId="0" applyFont="1" applyFill="1" applyAlignment="1">
      <alignment vertical="center" wrapText="1"/>
    </xf>
    <xf numFmtId="0" fontId="24" fillId="9" borderId="61" xfId="0" applyFont="1" applyFill="1" applyBorder="1" applyAlignment="1">
      <alignment vertical="center" wrapText="1"/>
    </xf>
    <xf numFmtId="0" fontId="24" fillId="9" borderId="55" xfId="0" applyFont="1" applyFill="1" applyBorder="1" applyAlignment="1">
      <alignment vertical="center" wrapText="1"/>
    </xf>
    <xf numFmtId="0" fontId="24" fillId="9" borderId="56" xfId="0" applyFont="1" applyFill="1" applyBorder="1" applyAlignment="1">
      <alignment vertical="center" wrapText="1"/>
    </xf>
    <xf numFmtId="0" fontId="11" fillId="5" borderId="112" xfId="0" applyFont="1" applyFill="1" applyBorder="1" applyAlignment="1">
      <alignment horizontal="center"/>
    </xf>
    <xf numFmtId="0" fontId="20" fillId="5" borderId="22" xfId="0" applyFont="1" applyFill="1" applyBorder="1" applyAlignment="1">
      <alignment horizontal="center" vertical="center"/>
    </xf>
    <xf numFmtId="0" fontId="20" fillId="5" borderId="26" xfId="0" applyFont="1" applyFill="1" applyBorder="1" applyAlignment="1">
      <alignment horizontal="center" vertical="center"/>
    </xf>
    <xf numFmtId="0" fontId="20" fillId="5" borderId="23" xfId="0" applyFont="1" applyFill="1" applyBorder="1" applyAlignment="1">
      <alignment horizontal="center" vertical="center"/>
    </xf>
    <xf numFmtId="0" fontId="21" fillId="9" borderId="59" xfId="0" applyFont="1" applyFill="1" applyBorder="1" applyAlignment="1">
      <alignment horizontal="left" vertical="top" wrapText="1"/>
    </xf>
    <xf numFmtId="0" fontId="21" fillId="9" borderId="104" xfId="0" applyFont="1" applyFill="1" applyBorder="1" applyAlignment="1">
      <alignment horizontal="left" vertical="top" wrapText="1"/>
    </xf>
    <xf numFmtId="0" fontId="21" fillId="9" borderId="105" xfId="0" applyFont="1" applyFill="1" applyBorder="1" applyAlignment="1">
      <alignment horizontal="left" vertical="top" wrapText="1"/>
    </xf>
    <xf numFmtId="0" fontId="29" fillId="8" borderId="111" xfId="0" applyFont="1" applyFill="1" applyBorder="1" applyAlignment="1">
      <alignment horizontal="center"/>
    </xf>
    <xf numFmtId="0" fontId="29" fillId="8" borderId="112" xfId="0" applyFont="1" applyFill="1" applyBorder="1" applyAlignment="1">
      <alignment horizontal="center"/>
    </xf>
    <xf numFmtId="0" fontId="29" fillId="8" borderId="113" xfId="0" applyFont="1" applyFill="1" applyBorder="1" applyAlignment="1">
      <alignment horizontal="center"/>
    </xf>
    <xf numFmtId="0" fontId="29" fillId="8" borderId="104" xfId="0" applyFont="1" applyFill="1" applyBorder="1" applyAlignment="1">
      <alignment horizontal="center"/>
    </xf>
    <xf numFmtId="0" fontId="29" fillId="8" borderId="105" xfId="0" applyFont="1" applyFill="1" applyBorder="1" applyAlignment="1">
      <alignment horizontal="center"/>
    </xf>
    <xf numFmtId="0" fontId="20" fillId="5" borderId="17" xfId="0" applyFont="1" applyFill="1" applyBorder="1" applyAlignment="1">
      <alignment horizontal="center" vertical="center"/>
    </xf>
    <xf numFmtId="0" fontId="20" fillId="5" borderId="0" xfId="0" applyFont="1" applyFill="1" applyAlignment="1">
      <alignment horizontal="center" vertical="center"/>
    </xf>
    <xf numFmtId="0" fontId="20" fillId="5" borderId="6" xfId="0" applyFont="1" applyFill="1" applyBorder="1" applyAlignment="1">
      <alignment horizontal="center" vertical="center"/>
    </xf>
    <xf numFmtId="0" fontId="20" fillId="5" borderId="9" xfId="0" applyFont="1" applyFill="1" applyBorder="1" applyAlignment="1">
      <alignment horizontal="center" vertical="center"/>
    </xf>
    <xf numFmtId="0" fontId="20" fillId="5" borderId="2" xfId="0" applyFont="1" applyFill="1" applyBorder="1" applyAlignment="1">
      <alignment horizontal="center" vertical="center"/>
    </xf>
    <xf numFmtId="166" fontId="14" fillId="3" borderId="9" xfId="0" applyNumberFormat="1" applyFont="1" applyFill="1" applyBorder="1" applyAlignment="1">
      <alignment horizontal="center"/>
    </xf>
    <xf numFmtId="0" fontId="21" fillId="9" borderId="61" xfId="0" applyFont="1" applyFill="1" applyBorder="1" applyAlignment="1">
      <alignment horizontal="left" vertical="top" wrapText="1"/>
    </xf>
    <xf numFmtId="0" fontId="21" fillId="9" borderId="0" xfId="0" applyFont="1" applyFill="1" applyAlignment="1">
      <alignment horizontal="left" vertical="top" wrapText="1"/>
    </xf>
    <xf numFmtId="0" fontId="21" fillId="9" borderId="114" xfId="0" applyFont="1" applyFill="1" applyBorder="1" applyAlignment="1">
      <alignment horizontal="left" vertical="top" wrapText="1"/>
    </xf>
    <xf numFmtId="0" fontId="21" fillId="9" borderId="55" xfId="0" applyFont="1" applyFill="1" applyBorder="1" applyAlignment="1">
      <alignment horizontal="left" vertical="top" wrapText="1"/>
    </xf>
    <xf numFmtId="0" fontId="21" fillId="9" borderId="56" xfId="0" applyFont="1" applyFill="1" applyBorder="1" applyAlignment="1">
      <alignment horizontal="left" vertical="top" wrapText="1"/>
    </xf>
    <xf numFmtId="0" fontId="21" fillId="9" borderId="115" xfId="0" applyFont="1" applyFill="1" applyBorder="1" applyAlignment="1">
      <alignment horizontal="left" vertical="top" wrapText="1"/>
    </xf>
    <xf numFmtId="0" fontId="27" fillId="8" borderId="111" xfId="0" applyFont="1" applyFill="1" applyBorder="1" applyAlignment="1">
      <alignment horizontal="center" vertical="center"/>
    </xf>
    <xf numFmtId="0" fontId="27" fillId="8" borderId="112" xfId="0" applyFont="1" applyFill="1" applyBorder="1" applyAlignment="1">
      <alignment horizontal="center" vertical="center"/>
    </xf>
    <xf numFmtId="0" fontId="27" fillId="8" borderId="113" xfId="0" applyFont="1" applyFill="1" applyBorder="1" applyAlignment="1">
      <alignment horizontal="center" vertical="center"/>
    </xf>
    <xf numFmtId="0" fontId="27" fillId="8" borderId="61" xfId="0" applyFont="1" applyFill="1" applyBorder="1" applyAlignment="1">
      <alignment horizontal="center" vertical="center"/>
    </xf>
    <xf numFmtId="0" fontId="27" fillId="8" borderId="0" xfId="0" applyFont="1" applyFill="1" applyAlignment="1">
      <alignment horizontal="center" vertical="center"/>
    </xf>
    <xf numFmtId="0" fontId="27" fillId="8" borderId="114" xfId="0" applyFont="1" applyFill="1" applyBorder="1" applyAlignment="1">
      <alignment horizontal="center" vertical="center"/>
    </xf>
    <xf numFmtId="0" fontId="26" fillId="9" borderId="111" xfId="0" applyFont="1" applyFill="1" applyBorder="1" applyAlignment="1">
      <alignment horizontal="left" vertical="top" wrapText="1"/>
    </xf>
    <xf numFmtId="0" fontId="26" fillId="9" borderId="112" xfId="0" applyFont="1" applyFill="1" applyBorder="1" applyAlignment="1">
      <alignment horizontal="left" vertical="top" wrapText="1"/>
    </xf>
    <xf numFmtId="0" fontId="26" fillId="9" borderId="113" xfId="0" applyFont="1" applyFill="1" applyBorder="1" applyAlignment="1">
      <alignment horizontal="left" vertical="top" wrapText="1"/>
    </xf>
    <xf numFmtId="0" fontId="26" fillId="9" borderId="61" xfId="0" applyFont="1" applyFill="1" applyBorder="1" applyAlignment="1">
      <alignment horizontal="left" vertical="top" wrapText="1"/>
    </xf>
    <xf numFmtId="0" fontId="26" fillId="9" borderId="0" xfId="0" applyFont="1" applyFill="1" applyAlignment="1">
      <alignment horizontal="left" vertical="top" wrapText="1"/>
    </xf>
    <xf numFmtId="0" fontId="26" fillId="9" borderId="114" xfId="0" applyFont="1" applyFill="1" applyBorder="1" applyAlignment="1">
      <alignment horizontal="left" vertical="top" wrapText="1"/>
    </xf>
    <xf numFmtId="0" fontId="26" fillId="9" borderId="55" xfId="0" applyFont="1" applyFill="1" applyBorder="1" applyAlignment="1">
      <alignment horizontal="left" vertical="top" wrapText="1"/>
    </xf>
    <xf numFmtId="0" fontId="26" fillId="9" borderId="56" xfId="0" applyFont="1" applyFill="1" applyBorder="1" applyAlignment="1">
      <alignment horizontal="left" vertical="top" wrapText="1"/>
    </xf>
    <xf numFmtId="0" fontId="26" fillId="9" borderId="115" xfId="0" applyFont="1" applyFill="1" applyBorder="1" applyAlignment="1">
      <alignment horizontal="left" vertical="top" wrapText="1"/>
    </xf>
    <xf numFmtId="43" fontId="4" fillId="2" borderId="8" xfId="4" applyFont="1" applyFill="1" applyBorder="1" applyAlignment="1">
      <alignment horizontal="center" vertical="center" wrapText="1"/>
    </xf>
    <xf numFmtId="43" fontId="4" fillId="2" borderId="7" xfId="4" applyFont="1" applyFill="1" applyBorder="1" applyAlignment="1">
      <alignment horizontal="center" vertical="center" wrapText="1"/>
    </xf>
    <xf numFmtId="164" fontId="4" fillId="2" borderId="8" xfId="4" applyNumberFormat="1" applyFont="1" applyFill="1" applyBorder="1" applyAlignment="1">
      <alignment horizontal="center" vertical="center" wrapText="1"/>
    </xf>
    <xf numFmtId="164" fontId="4" fillId="2" borderId="7" xfId="4" applyNumberFormat="1" applyFont="1" applyFill="1" applyBorder="1" applyAlignment="1">
      <alignment horizontal="center" vertical="center" wrapText="1"/>
    </xf>
    <xf numFmtId="43" fontId="4" fillId="5" borderId="6" xfId="4" applyFont="1" applyFill="1" applyBorder="1" applyAlignment="1">
      <alignment horizontal="center" vertical="center"/>
    </xf>
    <xf numFmtId="43" fontId="4" fillId="5" borderId="9" xfId="4" applyFont="1" applyFill="1" applyBorder="1" applyAlignment="1">
      <alignment horizontal="center" vertical="center"/>
    </xf>
    <xf numFmtId="43" fontId="4" fillId="5" borderId="2" xfId="4" applyFont="1" applyFill="1" applyBorder="1" applyAlignment="1">
      <alignment horizontal="center" vertical="center"/>
    </xf>
    <xf numFmtId="43" fontId="4" fillId="5" borderId="10" xfId="4" applyFont="1" applyFill="1" applyBorder="1" applyAlignment="1">
      <alignment horizontal="center" vertical="center"/>
    </xf>
    <xf numFmtId="43" fontId="4" fillId="5" borderId="11" xfId="4" applyFont="1" applyFill="1" applyBorder="1" applyAlignment="1">
      <alignment horizontal="center" vertical="center"/>
    </xf>
    <xf numFmtId="43" fontId="4" fillId="5" borderId="5" xfId="4" applyFont="1" applyFill="1" applyBorder="1" applyAlignment="1">
      <alignment horizontal="center" vertical="center"/>
    </xf>
    <xf numFmtId="0" fontId="4" fillId="5" borderId="118" xfId="0" applyFont="1" applyFill="1" applyBorder="1" applyAlignment="1">
      <alignment horizontal="left"/>
    </xf>
    <xf numFmtId="0" fontId="4" fillId="5" borderId="23" xfId="0" applyFont="1" applyFill="1" applyBorder="1" applyAlignment="1">
      <alignment horizontal="left"/>
    </xf>
    <xf numFmtId="0" fontId="4" fillId="2" borderId="8" xfId="6" applyFont="1" applyFill="1" applyBorder="1" applyAlignment="1">
      <alignment horizontal="center" vertical="center" wrapText="1"/>
    </xf>
    <xf numFmtId="0" fontId="4" fillId="2" borderId="7" xfId="6" applyFont="1" applyFill="1" applyBorder="1" applyAlignment="1">
      <alignment horizontal="center" vertical="center" wrapText="1"/>
    </xf>
    <xf numFmtId="164" fontId="4" fillId="2" borderId="117" xfId="4" applyNumberFormat="1" applyFont="1" applyFill="1" applyBorder="1" applyAlignment="1">
      <alignment horizontal="center" vertical="center" wrapText="1"/>
    </xf>
    <xf numFmtId="164" fontId="6" fillId="5" borderId="22" xfId="4" applyNumberFormat="1" applyFont="1" applyFill="1" applyBorder="1" applyAlignment="1">
      <alignment horizontal="center"/>
    </xf>
    <xf numFmtId="164" fontId="6" fillId="5" borderId="23" xfId="4" applyNumberFormat="1" applyFont="1" applyFill="1" applyBorder="1" applyAlignment="1">
      <alignment horizontal="center"/>
    </xf>
    <xf numFmtId="10" fontId="4" fillId="0" borderId="22" xfId="4" applyNumberFormat="1" applyFont="1" applyBorder="1" applyAlignment="1" applyProtection="1">
      <alignment horizontal="center"/>
      <protection locked="0"/>
    </xf>
    <xf numFmtId="10" fontId="4" fillId="0" borderId="23" xfId="4" applyNumberFormat="1" applyFont="1" applyBorder="1" applyAlignment="1" applyProtection="1">
      <alignment horizontal="center"/>
      <protection locked="0"/>
    </xf>
    <xf numFmtId="0" fontId="4" fillId="5" borderId="22" xfId="0" applyFont="1" applyFill="1" applyBorder="1" applyAlignment="1">
      <alignment horizontal="left"/>
    </xf>
    <xf numFmtId="0" fontId="6" fillId="5" borderId="22" xfId="0" applyFont="1" applyFill="1" applyBorder="1" applyAlignment="1">
      <alignment horizontal="left" vertical="center" wrapText="1"/>
    </xf>
    <xf numFmtId="0" fontId="6" fillId="5" borderId="23" xfId="0" applyFont="1" applyFill="1" applyBorder="1" applyAlignment="1">
      <alignment horizontal="left" vertical="center" wrapText="1"/>
    </xf>
    <xf numFmtId="0" fontId="6" fillId="5" borderId="111" xfId="0" applyFont="1" applyFill="1" applyBorder="1" applyAlignment="1">
      <alignment horizontal="left" vertical="center" wrapText="1"/>
    </xf>
    <xf numFmtId="0" fontId="6" fillId="5" borderId="112" xfId="0" applyFont="1" applyFill="1" applyBorder="1" applyAlignment="1">
      <alignment horizontal="left" vertical="center" wrapText="1"/>
    </xf>
    <xf numFmtId="0" fontId="6" fillId="5" borderId="59" xfId="0" applyFont="1" applyFill="1" applyBorder="1" applyAlignment="1">
      <alignment horizontal="left" vertical="center" wrapText="1"/>
    </xf>
    <xf numFmtId="0" fontId="6" fillId="5" borderId="104" xfId="0" applyFont="1" applyFill="1" applyBorder="1" applyAlignment="1">
      <alignment horizontal="left" vertical="center" wrapText="1"/>
    </xf>
    <xf numFmtId="0" fontId="14" fillId="2" borderId="46" xfId="0" applyFont="1" applyFill="1" applyBorder="1" applyAlignment="1">
      <alignment horizontal="center" vertical="center" wrapText="1"/>
    </xf>
    <xf numFmtId="0" fontId="14" fillId="2" borderId="38" xfId="0" applyFont="1" applyFill="1" applyBorder="1" applyAlignment="1">
      <alignment horizontal="center" vertical="center" wrapText="1"/>
    </xf>
    <xf numFmtId="0" fontId="14" fillId="2" borderId="74" xfId="0" applyFont="1" applyFill="1" applyBorder="1" applyAlignment="1">
      <alignment horizontal="center" vertical="center" wrapText="1"/>
    </xf>
    <xf numFmtId="0" fontId="14" fillId="2" borderId="30"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19" xfId="0" applyFont="1" applyFill="1" applyBorder="1" applyAlignment="1">
      <alignment horizontal="center" vertical="center" wrapText="1"/>
    </xf>
    <xf numFmtId="0" fontId="6" fillId="5" borderId="24" xfId="0" applyFont="1" applyFill="1" applyBorder="1" applyAlignment="1">
      <alignment horizontal="center" vertical="center" wrapText="1"/>
    </xf>
    <xf numFmtId="0" fontId="6" fillId="5" borderId="25" xfId="0" applyFont="1" applyFill="1" applyBorder="1" applyAlignment="1">
      <alignment horizontal="center" vertical="center" wrapText="1"/>
    </xf>
    <xf numFmtId="0" fontId="6" fillId="5" borderId="27" xfId="0" applyFont="1" applyFill="1" applyBorder="1" applyAlignment="1">
      <alignment horizontal="center" vertical="center" wrapText="1"/>
    </xf>
    <xf numFmtId="0" fontId="14" fillId="7" borderId="6" xfId="0" applyFont="1" applyFill="1" applyBorder="1" applyAlignment="1" applyProtection="1">
      <alignment horizontal="center"/>
      <protection locked="0"/>
    </xf>
    <xf numFmtId="0" fontId="14" fillId="7" borderId="9" xfId="0" applyFont="1" applyFill="1" applyBorder="1" applyAlignment="1" applyProtection="1">
      <alignment horizontal="center"/>
      <protection locked="0"/>
    </xf>
    <xf numFmtId="0" fontId="14" fillId="7" borderId="2" xfId="0" applyFont="1" applyFill="1" applyBorder="1" applyAlignment="1" applyProtection="1">
      <alignment horizontal="center"/>
      <protection locked="0"/>
    </xf>
    <xf numFmtId="0" fontId="14" fillId="7" borderId="17" xfId="0" applyFont="1" applyFill="1" applyBorder="1" applyAlignment="1" applyProtection="1">
      <alignment horizontal="center"/>
      <protection locked="0"/>
    </xf>
    <xf numFmtId="0" fontId="14" fillId="7" borderId="0" xfId="0" applyFont="1" applyFill="1" applyAlignment="1" applyProtection="1">
      <alignment horizontal="center"/>
      <protection locked="0"/>
    </xf>
    <xf numFmtId="0" fontId="14" fillId="7" borderId="3" xfId="0" applyFont="1" applyFill="1" applyBorder="1" applyAlignment="1" applyProtection="1">
      <alignment horizontal="center"/>
      <protection locked="0"/>
    </xf>
    <xf numFmtId="0" fontId="14" fillId="7" borderId="10" xfId="0" applyFont="1" applyFill="1" applyBorder="1" applyAlignment="1" applyProtection="1">
      <alignment horizontal="center"/>
      <protection locked="0"/>
    </xf>
    <xf numFmtId="0" fontId="14" fillId="7" borderId="11" xfId="0" applyFont="1" applyFill="1" applyBorder="1" applyAlignment="1" applyProtection="1">
      <alignment horizontal="center"/>
      <protection locked="0"/>
    </xf>
    <xf numFmtId="0" fontId="14" fillId="7" borderId="5" xfId="0" applyFont="1" applyFill="1" applyBorder="1" applyAlignment="1" applyProtection="1">
      <alignment horizontal="center"/>
      <protection locked="0"/>
    </xf>
    <xf numFmtId="0" fontId="6" fillId="5" borderId="22"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23" xfId="0" applyFont="1" applyFill="1" applyBorder="1" applyAlignment="1">
      <alignment horizontal="center" vertical="center" wrapText="1"/>
    </xf>
    <xf numFmtId="0" fontId="11" fillId="5" borderId="59" xfId="0" applyFont="1" applyFill="1" applyBorder="1" applyAlignment="1">
      <alignment horizontal="center"/>
    </xf>
    <xf numFmtId="0" fontId="11" fillId="5" borderId="104" xfId="0" applyFont="1" applyFill="1" applyBorder="1" applyAlignment="1">
      <alignment horizontal="center"/>
    </xf>
    <xf numFmtId="0" fontId="11" fillId="5" borderId="105" xfId="0" applyFont="1" applyFill="1" applyBorder="1" applyAlignment="1">
      <alignment horizontal="center"/>
    </xf>
    <xf numFmtId="0" fontId="14" fillId="5" borderId="24" xfId="0" applyFont="1" applyFill="1" applyBorder="1" applyAlignment="1" applyProtection="1">
      <alignment horizontal="center"/>
      <protection locked="0"/>
    </xf>
    <xf numFmtId="0" fontId="14" fillId="5" borderId="27" xfId="0" applyFont="1" applyFill="1" applyBorder="1" applyAlignment="1" applyProtection="1">
      <alignment horizontal="center"/>
      <protection locked="0"/>
    </xf>
    <xf numFmtId="0" fontId="14" fillId="5" borderId="25" xfId="0" applyFont="1" applyFill="1" applyBorder="1" applyAlignment="1" applyProtection="1">
      <alignment horizontal="center"/>
      <protection locked="0"/>
    </xf>
    <xf numFmtId="0" fontId="4" fillId="5" borderId="11" xfId="0" applyFont="1" applyFill="1" applyBorder="1" applyAlignment="1">
      <alignment horizontal="left" vertical="center"/>
    </xf>
    <xf numFmtId="0" fontId="4" fillId="5" borderId="5" xfId="0" applyFont="1" applyFill="1" applyBorder="1" applyAlignment="1">
      <alignment horizontal="left" vertical="center"/>
    </xf>
    <xf numFmtId="7" fontId="4" fillId="5" borderId="24" xfId="7" applyNumberFormat="1" applyFont="1" applyFill="1" applyBorder="1" applyAlignment="1">
      <alignment horizontal="center" vertical="center" wrapText="1"/>
    </xf>
    <xf numFmtId="7" fontId="4" fillId="5" borderId="25" xfId="7" applyNumberFormat="1" applyFont="1" applyFill="1" applyBorder="1" applyAlignment="1">
      <alignment horizontal="center" vertical="center" wrapText="1"/>
    </xf>
    <xf numFmtId="0" fontId="4" fillId="5" borderId="6" xfId="9" applyFont="1" applyFill="1" applyBorder="1" applyAlignment="1">
      <alignment horizontal="center" vertical="center" wrapText="1"/>
    </xf>
    <xf numFmtId="0" fontId="4" fillId="5" borderId="9" xfId="9" applyFont="1" applyFill="1" applyBorder="1" applyAlignment="1">
      <alignment horizontal="center" vertical="center" wrapText="1"/>
    </xf>
    <xf numFmtId="0" fontId="4" fillId="5" borderId="10" xfId="9" applyFont="1" applyFill="1" applyBorder="1" applyAlignment="1">
      <alignment horizontal="center" vertical="center" wrapText="1"/>
    </xf>
    <xf numFmtId="0" fontId="4" fillId="5" borderId="11" xfId="9" applyFont="1" applyFill="1" applyBorder="1" applyAlignment="1">
      <alignment horizontal="center" vertical="center" wrapText="1"/>
    </xf>
    <xf numFmtId="0" fontId="14" fillId="0" borderId="41" xfId="0" applyFont="1" applyBorder="1" applyAlignment="1" applyProtection="1">
      <alignment horizontal="center"/>
      <protection locked="0"/>
    </xf>
    <xf numFmtId="0" fontId="14" fillId="0" borderId="15" xfId="0" applyFont="1" applyBorder="1" applyAlignment="1" applyProtection="1">
      <alignment horizontal="center"/>
      <protection locked="0"/>
    </xf>
    <xf numFmtId="0" fontId="14" fillId="0" borderId="16" xfId="0" applyFont="1" applyBorder="1" applyAlignment="1" applyProtection="1">
      <alignment horizontal="center"/>
      <protection locked="0"/>
    </xf>
    <xf numFmtId="0" fontId="14" fillId="0" borderId="42" xfId="0" applyFont="1" applyBorder="1" applyAlignment="1" applyProtection="1">
      <alignment horizontal="center"/>
      <protection locked="0"/>
    </xf>
    <xf numFmtId="0" fontId="14" fillId="0" borderId="14" xfId="0" applyFont="1" applyBorder="1" applyAlignment="1" applyProtection="1">
      <alignment horizontal="center"/>
      <protection locked="0"/>
    </xf>
    <xf numFmtId="0" fontId="14" fillId="0" borderId="19" xfId="0" applyFont="1" applyBorder="1" applyAlignment="1" applyProtection="1">
      <alignment horizontal="center"/>
      <protection locked="0"/>
    </xf>
    <xf numFmtId="0" fontId="14" fillId="0" borderId="62" xfId="0" applyFont="1" applyBorder="1" applyAlignment="1" applyProtection="1">
      <alignment horizontal="center"/>
      <protection locked="0"/>
    </xf>
    <xf numFmtId="0" fontId="14" fillId="0" borderId="20" xfId="0" applyFont="1" applyBorder="1" applyAlignment="1" applyProtection="1">
      <alignment horizontal="center"/>
      <protection locked="0"/>
    </xf>
    <xf numFmtId="0" fontId="14" fillId="0" borderId="39" xfId="0" applyFont="1" applyBorder="1" applyAlignment="1" applyProtection="1">
      <alignment horizontal="center"/>
      <protection locked="0"/>
    </xf>
  </cellXfs>
  <cellStyles count="10">
    <cellStyle name="Comma" xfId="1" builtinId="3"/>
    <cellStyle name="Comma 10" xfId="5" xr:uid="{AE8D0033-8FD7-40A8-B72F-9B80D50FC9D7}"/>
    <cellStyle name="Comma 2" xfId="4" xr:uid="{9C570C10-25AC-40FF-BEF1-886BF4E405BF}"/>
    <cellStyle name="Currency" xfId="2" builtinId="4"/>
    <cellStyle name="Normal" xfId="0" builtinId="0"/>
    <cellStyle name="Normal 81" xfId="8" xr:uid="{A140B5B3-1304-4684-AACB-321AA32EA951}"/>
    <cellStyle name="Normal 90" xfId="9" xr:uid="{1282333C-973D-42B9-B6C8-0D09BD9AD6C0}"/>
    <cellStyle name="Normal_Book3" xfId="7" xr:uid="{2CEF5E87-CD88-4495-B499-55A613389954}"/>
    <cellStyle name="Normal_Payrol broweser 05-04-12 updat by HR (2)_Rates devlopment Model 1" xfId="6" xr:uid="{F7E77CF4-BE22-42A1-A5B0-C1D698E13A8B}"/>
    <cellStyle name="Percent" xfId="3" builtinId="5"/>
  </cellStyles>
  <dxfs count="20">
    <dxf>
      <font>
        <color rgb="FF9C0006"/>
      </font>
      <fill>
        <patternFill>
          <bgColor rgb="FFFFC7CE"/>
        </patternFill>
      </fill>
    </dxf>
    <dxf>
      <font>
        <color rgb="FFFF0000"/>
      </font>
    </dxf>
    <dxf>
      <font>
        <color rgb="FF9C0006"/>
      </font>
      <fill>
        <patternFill>
          <bgColor rgb="FFFFC7CE"/>
        </patternFill>
      </fill>
    </dxf>
    <dxf>
      <font>
        <color rgb="FF9C0006"/>
      </font>
      <fill>
        <patternFill>
          <bgColor rgb="FFFFC7CE"/>
        </patternFill>
      </fill>
    </dxf>
    <dxf>
      <font>
        <color rgb="FFFF0000"/>
      </font>
    </dxf>
    <dxf>
      <font>
        <color rgb="FFFF0000"/>
      </font>
    </dxf>
    <dxf>
      <font>
        <b/>
        <i val="0"/>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Users/nsankina/AppData/Local/Microsoft/Windows/Temporary%20Internet%20Files/Content.Outlook/07VN2NJU/Legi%20Press%20Hours%20CY%202017.xlsx" TargetMode="External"/><Relationship Id="rId1" Type="http://schemas.openxmlformats.org/officeDocument/2006/relationships/externalLinkPath" Target="/Users/nsankina/AppData/Local/Microsoft/Windows/Temporary%20Internet%20Files/Content.Outlook/07VN2NJU/Legi%20Press%20Hours%20CY%20201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O00FIL001\OFS-Programs\BUDGET\OFFICE%20of%20STATE%20PUBLISHING\Payroll%20Browsers\2012-2013\9-MAR%202013%20Payroll%20Browser%204-5-13(EDITE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Data - Job Labor"/>
      <sheetName val="CostCtr"/>
      <sheetName val="Data - MachineCards"/>
      <sheetName val="Combined Pivot"/>
      <sheetName val="Combined Legi Data"/>
      <sheetName val="Lookup"/>
      <sheetName val="Detail"/>
      <sheetName val="Summary"/>
      <sheetName val="EPP Ratio Calc"/>
      <sheetName val="Press Pivot"/>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R PB 4.5.2013"/>
      <sheetName val="Macro1"/>
      <sheetName val="MAR_PB_4_5_2013"/>
    </sheetNames>
    <sheetDataSet>
      <sheetData sheetId="0" refreshError="1"/>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49226-241E-45C5-9F12-0E8AED73D9FC}">
  <dimension ref="A1:J29"/>
  <sheetViews>
    <sheetView workbookViewId="0">
      <selection activeCell="N16" sqref="N16"/>
    </sheetView>
  </sheetViews>
  <sheetFormatPr defaultRowHeight="15"/>
  <cols>
    <col min="4" max="4" width="30.85546875" customWidth="1"/>
    <col min="5" max="5" width="19.5703125" customWidth="1"/>
    <col min="6" max="6" width="19.28515625" bestFit="1" customWidth="1"/>
  </cols>
  <sheetData>
    <row r="1" spans="1:10" ht="24">
      <c r="A1" s="500" t="s">
        <v>0</v>
      </c>
      <c r="B1" s="500"/>
      <c r="C1" s="500"/>
      <c r="D1" s="500"/>
      <c r="E1" s="500"/>
      <c r="F1" s="500"/>
      <c r="G1" s="500"/>
      <c r="H1" s="500"/>
      <c r="I1" s="500"/>
      <c r="J1" s="500"/>
    </row>
    <row r="2" spans="1:10" ht="15.75">
      <c r="A2" s="501" t="s">
        <v>1</v>
      </c>
      <c r="B2" s="501"/>
      <c r="C2" s="501"/>
      <c r="D2" s="501"/>
      <c r="E2" s="501"/>
      <c r="F2" s="501"/>
      <c r="G2" s="501"/>
      <c r="H2" s="501"/>
      <c r="I2" s="501"/>
      <c r="J2" s="501"/>
    </row>
    <row r="3" spans="1:10">
      <c r="A3" s="502" t="s">
        <v>2</v>
      </c>
      <c r="B3" s="502"/>
      <c r="C3" s="502"/>
      <c r="D3" s="502"/>
      <c r="E3" s="502"/>
      <c r="F3" s="502"/>
      <c r="G3" s="502"/>
      <c r="H3" s="502"/>
      <c r="I3" s="502"/>
      <c r="J3" s="502"/>
    </row>
    <row r="4" spans="1:10">
      <c r="A4" s="432"/>
      <c r="B4" s="432"/>
      <c r="C4" s="432"/>
      <c r="D4" s="432"/>
      <c r="E4" s="432"/>
      <c r="F4" s="432"/>
      <c r="G4" s="432"/>
      <c r="H4" s="432"/>
      <c r="I4" s="432"/>
      <c r="J4" s="432"/>
    </row>
    <row r="5" spans="1:10">
      <c r="A5" s="432"/>
      <c r="B5" s="432"/>
      <c r="C5" s="432"/>
      <c r="D5" s="432"/>
      <c r="E5" s="432"/>
      <c r="F5" s="432"/>
      <c r="G5" s="432"/>
      <c r="H5" s="432"/>
      <c r="I5" s="432"/>
      <c r="J5" s="432"/>
    </row>
    <row r="6" spans="1:10">
      <c r="A6" s="432"/>
      <c r="B6" s="432"/>
      <c r="C6" s="432"/>
      <c r="D6" s="456"/>
      <c r="E6" s="457" t="s">
        <v>3</v>
      </c>
      <c r="F6" s="458" t="s">
        <v>4</v>
      </c>
      <c r="G6" s="432"/>
      <c r="H6" s="432"/>
      <c r="I6" s="432"/>
      <c r="J6" s="432"/>
    </row>
    <row r="7" spans="1:10">
      <c r="A7" s="432"/>
      <c r="B7" s="432"/>
      <c r="C7" s="432"/>
      <c r="D7" s="458" t="s">
        <v>5</v>
      </c>
      <c r="E7" s="459">
        <f>SUM('Data Summary'!F12:I12)</f>
        <v>0</v>
      </c>
      <c r="F7" s="460">
        <f>SUM('Data Summary'!F21:J21)</f>
        <v>0</v>
      </c>
      <c r="G7" s="432"/>
      <c r="H7" s="432"/>
      <c r="I7" s="432"/>
      <c r="J7" s="432"/>
    </row>
    <row r="8" spans="1:10">
      <c r="A8" s="432"/>
      <c r="B8" s="432"/>
      <c r="C8" s="432"/>
      <c r="D8" s="461" t="s">
        <v>6</v>
      </c>
      <c r="E8" s="462">
        <f>'Data Summary'!D12</f>
        <v>0</v>
      </c>
      <c r="F8" s="460">
        <f>'Data Summary'!D21</f>
        <v>0</v>
      </c>
      <c r="G8" s="432"/>
      <c r="H8" s="432"/>
      <c r="I8" s="432"/>
      <c r="J8" s="432"/>
    </row>
    <row r="9" spans="1:10">
      <c r="A9" s="432"/>
      <c r="B9" s="432"/>
      <c r="C9" s="432"/>
      <c r="D9" s="466" t="str" cm="1">
        <f t="array" ref="D9">IFERROR(_xlfn.IFS('Current Equipment (Replacing)'!C12="8.5x11 Pages","Total Annual Throughput (Pages)",'Current Equipment (Replacing)'!C12="Pieces","Total Annual Throughput (Pieces)"),"FILL CURRENT EQUIPMENT UNITS")</f>
        <v>Total Annual Throughput (Pages)</v>
      </c>
      <c r="E9" s="463">
        <f>'Data Summary'!E12</f>
        <v>0</v>
      </c>
      <c r="F9" s="464">
        <f>'Data Summary'!E21</f>
        <v>0</v>
      </c>
      <c r="G9" s="465"/>
      <c r="H9" s="432"/>
      <c r="I9" s="432"/>
      <c r="J9" s="432"/>
    </row>
    <row r="10" spans="1:10">
      <c r="A10" s="432"/>
      <c r="B10" s="432"/>
      <c r="C10" s="432"/>
      <c r="D10" s="466" t="str" cm="1">
        <f t="array" ref="D10">IFERROR(_xlfn.IFS('Current Equipment (Replacing)'!C12="8.5x11 Pages","Average Cost/Page",'Current Equipment (Replacing)'!C12="Pieces","Average Cost/Piece"),"FILL CURRENT EQUIPMENT UNITS")</f>
        <v>Average Cost/Page</v>
      </c>
      <c r="E10" s="469" t="str">
        <f>'Data Summary'!G25</f>
        <v>-</v>
      </c>
      <c r="F10" s="470" t="str">
        <f>'Data Summary'!G26</f>
        <v>-</v>
      </c>
      <c r="G10" s="432"/>
      <c r="H10" s="432"/>
      <c r="I10" s="432"/>
      <c r="J10" s="432"/>
    </row>
    <row r="11" spans="1:10">
      <c r="A11" s="432"/>
      <c r="B11" s="432"/>
      <c r="C11" s="432"/>
      <c r="D11" s="432"/>
      <c r="E11" s="432"/>
      <c r="F11" s="432"/>
      <c r="G11" s="432"/>
      <c r="H11" s="432"/>
      <c r="I11" s="432"/>
      <c r="J11" s="432"/>
    </row>
    <row r="12" spans="1:10">
      <c r="A12" s="433"/>
      <c r="B12" s="433"/>
      <c r="C12" s="433"/>
      <c r="D12" s="433"/>
      <c r="E12" s="433"/>
      <c r="F12" s="433"/>
      <c r="G12" s="433"/>
      <c r="H12" s="433"/>
      <c r="I12" s="433"/>
      <c r="J12" s="433"/>
    </row>
    <row r="13" spans="1:10">
      <c r="A13" s="433"/>
      <c r="B13" s="433"/>
      <c r="C13" s="433"/>
      <c r="D13" s="503" t="s">
        <v>7</v>
      </c>
      <c r="E13" s="505">
        <f>'Data Summary'!I33</f>
        <v>0</v>
      </c>
      <c r="F13" s="506"/>
      <c r="G13" s="433"/>
      <c r="H13" s="433"/>
      <c r="I13" s="433"/>
      <c r="J13" s="433"/>
    </row>
    <row r="14" spans="1:10">
      <c r="A14" s="433"/>
      <c r="B14" s="433"/>
      <c r="C14" s="433"/>
      <c r="D14" s="504"/>
      <c r="E14" s="507"/>
      <c r="F14" s="508"/>
      <c r="G14" s="433"/>
      <c r="H14" s="433"/>
      <c r="I14" s="433"/>
      <c r="J14" s="433"/>
    </row>
    <row r="15" spans="1:10">
      <c r="A15" s="433"/>
      <c r="B15" s="433"/>
      <c r="C15" s="433"/>
      <c r="D15" s="433"/>
      <c r="E15" s="433"/>
      <c r="F15" s="433"/>
      <c r="G15" s="433"/>
      <c r="H15" s="433"/>
      <c r="I15" s="433"/>
      <c r="J15" s="433"/>
    </row>
    <row r="16" spans="1:10">
      <c r="A16" s="433"/>
      <c r="B16" s="433" t="s">
        <v>8</v>
      </c>
      <c r="C16" s="433"/>
      <c r="D16" s="433"/>
      <c r="E16" s="433"/>
      <c r="F16" s="433"/>
      <c r="G16" s="433"/>
      <c r="H16" s="433"/>
      <c r="I16" s="433"/>
      <c r="J16" s="433"/>
    </row>
    <row r="17" spans="1:10" ht="28.5" customHeight="1">
      <c r="A17" s="433"/>
      <c r="B17" s="498" t="s">
        <v>9</v>
      </c>
      <c r="C17" s="498"/>
      <c r="D17" s="498"/>
      <c r="E17" s="498"/>
      <c r="F17" s="498"/>
      <c r="G17" s="498"/>
      <c r="H17" s="498"/>
      <c r="I17" s="498"/>
      <c r="J17" s="433"/>
    </row>
    <row r="18" spans="1:10">
      <c r="A18" s="433"/>
      <c r="B18" s="499" t="s">
        <v>10</v>
      </c>
      <c r="C18" s="499"/>
      <c r="D18" s="499"/>
      <c r="E18" s="499"/>
      <c r="F18" s="499"/>
      <c r="G18" s="499"/>
      <c r="H18" s="499"/>
      <c r="I18" s="499"/>
      <c r="J18" s="433"/>
    </row>
    <row r="19" spans="1:10" ht="30.75" customHeight="1">
      <c r="A19" s="433"/>
      <c r="B19" s="498" t="s">
        <v>11</v>
      </c>
      <c r="C19" s="498"/>
      <c r="D19" s="498"/>
      <c r="E19" s="498"/>
      <c r="F19" s="498"/>
      <c r="G19" s="498"/>
      <c r="H19" s="498"/>
      <c r="I19" s="498"/>
      <c r="J19" s="433"/>
    </row>
    <row r="20" spans="1:10">
      <c r="A20" s="433"/>
      <c r="B20" s="433"/>
      <c r="C20" s="433"/>
      <c r="D20" s="433"/>
      <c r="E20" s="433"/>
      <c r="F20" s="433"/>
      <c r="G20" s="433"/>
      <c r="H20" s="433"/>
      <c r="I20" s="433"/>
      <c r="J20" s="433"/>
    </row>
    <row r="21" spans="1:10">
      <c r="A21" s="433"/>
      <c r="B21" s="433"/>
      <c r="C21" s="433"/>
      <c r="D21" s="433"/>
      <c r="E21" s="433"/>
      <c r="F21" s="433"/>
      <c r="G21" s="433"/>
      <c r="H21" s="433"/>
      <c r="I21" s="433"/>
      <c r="J21" s="433"/>
    </row>
    <row r="22" spans="1:10">
      <c r="A22" s="433"/>
      <c r="B22" s="433"/>
      <c r="C22" s="433"/>
      <c r="D22" s="433"/>
      <c r="E22" s="433"/>
      <c r="F22" s="433"/>
      <c r="G22" s="433"/>
      <c r="H22" s="433"/>
      <c r="I22" s="433"/>
      <c r="J22" s="433"/>
    </row>
    <row r="23" spans="1:10">
      <c r="A23" s="433"/>
      <c r="B23" s="433"/>
      <c r="C23" s="433"/>
      <c r="D23" s="433"/>
      <c r="E23" s="433"/>
      <c r="F23" s="433"/>
      <c r="G23" s="433"/>
      <c r="H23" s="433"/>
      <c r="I23" s="433"/>
      <c r="J23" s="433"/>
    </row>
    <row r="24" spans="1:10">
      <c r="A24" s="433"/>
      <c r="B24" s="433"/>
      <c r="C24" s="433"/>
      <c r="D24" s="433"/>
      <c r="E24" s="433"/>
      <c r="F24" s="433"/>
      <c r="G24" s="433"/>
      <c r="H24" s="433"/>
      <c r="I24" s="433"/>
      <c r="J24" s="433"/>
    </row>
    <row r="25" spans="1:10">
      <c r="A25" s="433"/>
      <c r="B25" s="433"/>
      <c r="C25" s="433"/>
      <c r="D25" s="433"/>
      <c r="E25" s="433"/>
      <c r="F25" s="433"/>
      <c r="G25" s="433"/>
      <c r="H25" s="433"/>
      <c r="I25" s="433"/>
      <c r="J25" s="433"/>
    </row>
    <row r="26" spans="1:10">
      <c r="A26" s="433"/>
      <c r="B26" s="433"/>
      <c r="C26" s="433"/>
      <c r="D26" s="433"/>
      <c r="E26" s="433"/>
      <c r="F26" s="433"/>
      <c r="G26" s="433"/>
      <c r="H26" s="433"/>
      <c r="I26" s="433"/>
      <c r="J26" s="433"/>
    </row>
    <row r="27" spans="1:10">
      <c r="A27" s="433"/>
      <c r="B27" s="433"/>
      <c r="C27" s="433"/>
      <c r="D27" s="433"/>
      <c r="E27" s="433"/>
      <c r="F27" s="433"/>
      <c r="G27" s="433"/>
      <c r="H27" s="433"/>
      <c r="I27" s="433"/>
      <c r="J27" s="433"/>
    </row>
    <row r="28" spans="1:10">
      <c r="A28" s="433"/>
      <c r="B28" s="433"/>
      <c r="C28" s="433"/>
      <c r="D28" s="433"/>
      <c r="E28" s="433"/>
      <c r="F28" s="433"/>
      <c r="G28" s="433"/>
      <c r="H28" s="433"/>
      <c r="I28" s="433"/>
      <c r="J28" s="433"/>
    </row>
    <row r="29" spans="1:10">
      <c r="A29" s="433"/>
      <c r="B29" s="433"/>
      <c r="C29" s="433"/>
      <c r="D29" s="433"/>
      <c r="E29" s="433"/>
      <c r="F29" s="433"/>
      <c r="G29" s="433"/>
      <c r="H29" s="433"/>
      <c r="I29" s="433"/>
      <c r="J29" s="433"/>
    </row>
  </sheetData>
  <sheetProtection sheet="1" objects="1" scenarios="1"/>
  <mergeCells count="8">
    <mergeCell ref="B17:I17"/>
    <mergeCell ref="B18:I18"/>
    <mergeCell ref="B19:I19"/>
    <mergeCell ref="A1:J1"/>
    <mergeCell ref="A2:J2"/>
    <mergeCell ref="A3:J3"/>
    <mergeCell ref="D13:D14"/>
    <mergeCell ref="E13:F14"/>
  </mergeCells>
  <conditionalFormatting sqref="D9:D10">
    <cfRule type="containsText" dxfId="19" priority="2" operator="containsText" text="FILL CURRENT EQUIPMENT UNITS">
      <formula>NOT(ISERROR(SEARCH("FILL CURRENT EQUIPMENT UNITS",D9)))</formula>
    </cfRule>
  </conditionalFormatting>
  <conditionalFormatting sqref="G9">
    <cfRule type="containsText" dxfId="18" priority="1" operator="containsText" text="FILL CURRENT EQUIPMENT UNITS">
      <formula>NOT(ISERROR(SEARCH("FILL CURRENT EQUIPMENT UNITS",G9)))</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CE9CF-3E2B-4AD1-A30E-117138B4A9CC}">
  <sheetPr>
    <pageSetUpPr fitToPage="1"/>
  </sheetPr>
  <dimension ref="A1:O38"/>
  <sheetViews>
    <sheetView zoomScaleNormal="100" workbookViewId="0">
      <selection activeCell="J8" sqref="J8:K8"/>
    </sheetView>
  </sheetViews>
  <sheetFormatPr defaultRowHeight="15"/>
  <cols>
    <col min="1" max="1" width="7.42578125" customWidth="1"/>
    <col min="2" max="2" width="23.5703125" customWidth="1"/>
    <col min="3" max="3" width="27.5703125" customWidth="1"/>
    <col min="4" max="5" width="21.28515625" customWidth="1"/>
    <col min="6" max="6" width="20.28515625" customWidth="1"/>
    <col min="7" max="7" width="17.42578125" customWidth="1"/>
    <col min="8" max="8" width="19.28515625" customWidth="1"/>
    <col min="9" max="9" width="19.7109375" customWidth="1"/>
    <col min="10" max="10" width="16.85546875" customWidth="1"/>
    <col min="11" max="11" width="15.140625" customWidth="1"/>
    <col min="13" max="13" width="20.42578125" customWidth="1"/>
    <col min="14" max="14" width="22.7109375" customWidth="1"/>
    <col min="15" max="15" width="18.42578125" customWidth="1"/>
    <col min="18" max="18" width="16.5703125" customWidth="1"/>
    <col min="19" max="19" width="18.140625" customWidth="1"/>
    <col min="20" max="20" width="18.42578125" customWidth="1"/>
  </cols>
  <sheetData>
    <row r="1" spans="1:15" ht="19.5" customHeight="1">
      <c r="A1" s="509" t="s">
        <v>12</v>
      </c>
      <c r="B1" s="509"/>
      <c r="C1" s="509"/>
      <c r="D1" s="509"/>
      <c r="E1" s="509"/>
      <c r="F1" s="509"/>
      <c r="G1" s="509"/>
      <c r="H1" s="509"/>
      <c r="I1" s="509"/>
      <c r="J1" s="509"/>
      <c r="K1" s="509"/>
      <c r="L1" s="509"/>
      <c r="M1" s="509"/>
      <c r="N1" s="509"/>
      <c r="O1" s="509"/>
    </row>
    <row r="2" spans="1:15" ht="15.75">
      <c r="A2" s="511" t="s">
        <v>1</v>
      </c>
      <c r="B2" s="511"/>
      <c r="C2" s="511"/>
      <c r="D2" s="511"/>
      <c r="E2" s="511"/>
      <c r="F2" s="511"/>
      <c r="G2" s="511"/>
      <c r="H2" s="511"/>
      <c r="I2" s="511"/>
      <c r="J2" s="511"/>
      <c r="K2" s="511"/>
      <c r="L2" s="511"/>
      <c r="M2" s="511"/>
      <c r="N2" s="511"/>
      <c r="O2" s="511"/>
    </row>
    <row r="3" spans="1:15">
      <c r="A3" s="510" t="s">
        <v>13</v>
      </c>
      <c r="B3" s="510"/>
      <c r="C3" s="510"/>
      <c r="D3" s="510"/>
      <c r="E3" s="510"/>
      <c r="F3" s="510"/>
      <c r="G3" s="510"/>
      <c r="H3" s="510"/>
      <c r="I3" s="510"/>
      <c r="J3" s="510"/>
      <c r="K3" s="510"/>
      <c r="L3" s="510"/>
      <c r="M3" s="510"/>
      <c r="N3" s="510"/>
      <c r="O3" s="510"/>
    </row>
    <row r="4" spans="1:15">
      <c r="A4" s="1"/>
      <c r="B4" s="1"/>
      <c r="C4" s="1"/>
      <c r="D4" s="1"/>
      <c r="E4" s="1"/>
      <c r="F4" s="1"/>
      <c r="G4" s="1"/>
      <c r="H4" s="1"/>
      <c r="I4" s="1"/>
      <c r="J4" s="1"/>
      <c r="K4" s="1"/>
      <c r="L4" s="1"/>
      <c r="M4" s="1"/>
      <c r="N4" s="1"/>
      <c r="O4" s="1"/>
    </row>
    <row r="5" spans="1:15" ht="16.5" customHeight="1">
      <c r="A5" s="1"/>
      <c r="B5" s="526" t="s">
        <v>14</v>
      </c>
      <c r="C5" s="527"/>
      <c r="D5" s="527"/>
      <c r="E5" s="527"/>
      <c r="F5" s="527"/>
      <c r="G5" s="527"/>
      <c r="H5" s="527"/>
      <c r="I5" s="527"/>
      <c r="J5" s="528"/>
      <c r="K5" s="529"/>
      <c r="L5" s="1"/>
      <c r="M5" s="1"/>
      <c r="N5" s="1"/>
      <c r="O5" s="1"/>
    </row>
    <row r="6" spans="1:15" ht="29.25" customHeight="1">
      <c r="A6" s="1"/>
      <c r="B6" s="308" t="s">
        <v>15</v>
      </c>
      <c r="C6" s="317" t="s">
        <v>16</v>
      </c>
      <c r="D6" s="124" t="s">
        <v>17</v>
      </c>
      <c r="E6" s="125" t="str" cm="1">
        <f t="array" ref="E6">IFERROR(_xlfn.IFS('Current Equipment (Replacing)'!C12="8.5x11 Pages","8.5x11 Pages",'Current Equipment (Replacing)'!C12="Pieces","Pieces"),"FILL CURRENT EQUIPMENT UNITS")</f>
        <v>8.5x11 Pages</v>
      </c>
      <c r="F6" s="126" t="s">
        <v>18</v>
      </c>
      <c r="G6" s="126" t="s">
        <v>19</v>
      </c>
      <c r="H6" s="126" t="s">
        <v>20</v>
      </c>
      <c r="I6" s="436" t="s">
        <v>21</v>
      </c>
      <c r="J6" s="534" t="s">
        <v>22</v>
      </c>
      <c r="K6" s="535"/>
      <c r="L6" s="1"/>
      <c r="M6" s="1"/>
      <c r="N6" s="1"/>
      <c r="O6" s="1"/>
    </row>
    <row r="7" spans="1:15">
      <c r="A7" s="1"/>
      <c r="B7" s="447" t="str">
        <f>IF(ISTEXT('Current Equipment (Replacing)'!A12),'Current Equipment (Replacing)'!A12, "-")</f>
        <v>-</v>
      </c>
      <c r="C7" s="130" t="str">
        <f>'Current Equipment (Replacing)'!K21</f>
        <v>-</v>
      </c>
      <c r="D7" s="132">
        <f>SUMIF('Cost Avoidance-Revenue'!C$12:C$51, 'Data Summary'!B7, 'Cost Avoidance-Revenue'!L$12:L$51)</f>
        <v>0</v>
      </c>
      <c r="E7" s="131" cm="1">
        <f t="array" ref="E7">IFERROR(_xlfn.IFS('Current Equipment (Replacing)'!C$12="8.5x11 Pages",SUMIF('Cost Avoidance-Revenue'!C$12:C$51,'Current Equipment (Replacing)'!A12,'Cost Avoidance-Revenue'!H$12:H$51),'Current Equipment (Replacing)'!C$12="Pieces",SUMIF('Cost Avoidance-Revenue'!C$12:C$51,'Current Equipment (Replacing)'!A12,'Cost Avoidance-Revenue'!D$12:D$51)),"-")</f>
        <v>0</v>
      </c>
      <c r="F7" s="132">
        <f>SUMIF('Labor Costs'!E$14:E$33, B7,'Labor Costs'!K$14:K$33)</f>
        <v>0</v>
      </c>
      <c r="G7" s="132">
        <f>'Current Equipment (Replacing)'!G12</f>
        <v>0</v>
      </c>
      <c r="H7" s="133">
        <f>'Current Equipment (Replacing)'!H12</f>
        <v>0</v>
      </c>
      <c r="I7" s="450" t="str">
        <f>IFERROR(C7/$C$12*'Additional Expenditures'!$D$65,"-")</f>
        <v>-</v>
      </c>
      <c r="J7" s="536"/>
      <c r="K7" s="537"/>
      <c r="L7" s="1"/>
      <c r="M7" s="512" t="s">
        <v>23</v>
      </c>
      <c r="N7" s="513"/>
      <c r="O7" s="1"/>
    </row>
    <row r="8" spans="1:15">
      <c r="A8" s="1"/>
      <c r="B8" s="448" t="str">
        <f>IF(ISTEXT('Current Equipment (Replacing)'!A13),'Current Equipment (Replacing)'!A13, "-")</f>
        <v>-</v>
      </c>
      <c r="C8" s="130" t="str">
        <f>'Current Equipment (Replacing)'!K22</f>
        <v>-</v>
      </c>
      <c r="D8" s="132">
        <f>SUMIF('Cost Avoidance-Revenue'!C$12:C$51, 'Data Summary'!B8, 'Cost Avoidance-Revenue'!L$12:L$51)</f>
        <v>0</v>
      </c>
      <c r="E8" s="131" cm="1">
        <f t="array" ref="E8">IFERROR(_xlfn.IFS('Current Equipment (Replacing)'!C$12="8.5x11 Pages",SUMIF('Cost Avoidance-Revenue'!C$12:C$51,'Current Equipment (Replacing)'!A13,'Cost Avoidance-Revenue'!H$12:H$51),'Current Equipment (Replacing)'!C$12="Pieces",SUMIF('Cost Avoidance-Revenue'!C$12:C$51,'Current Equipment (Replacing)'!A13,'Cost Avoidance-Revenue'!D$12:D$51)),"-")</f>
        <v>0</v>
      </c>
      <c r="F8" s="132">
        <f>SUMIF('Labor Costs'!E$14:E$33, B8,'Labor Costs'!K$14:K$33)</f>
        <v>0</v>
      </c>
      <c r="G8" s="132">
        <f>'Current Equipment (Replacing)'!G13</f>
        <v>0</v>
      </c>
      <c r="H8" s="133">
        <f>'Current Equipment (Replacing)'!H13</f>
        <v>0</v>
      </c>
      <c r="I8" s="451" t="str">
        <f>IFERROR(C8/$C$12*'Additional Expenditures'!$D$65,"-")</f>
        <v>-</v>
      </c>
      <c r="J8" s="538"/>
      <c r="K8" s="539"/>
      <c r="L8" s="1"/>
      <c r="M8" s="514">
        <f>SUM(F12:I12)</f>
        <v>0</v>
      </c>
      <c r="N8" s="515"/>
      <c r="O8" s="1"/>
    </row>
    <row r="9" spans="1:15">
      <c r="A9" s="1"/>
      <c r="B9" s="448" t="str">
        <f>IF(ISTEXT('Current Equipment (Replacing)'!A14),'Current Equipment (Replacing)'!A14, "-")</f>
        <v>-</v>
      </c>
      <c r="C9" s="130" t="str">
        <f>'Current Equipment (Replacing)'!K23</f>
        <v>-</v>
      </c>
      <c r="D9" s="132">
        <f>SUMIF('Cost Avoidance-Revenue'!C$12:C$51, 'Data Summary'!B9, 'Cost Avoidance-Revenue'!L$12:L$51)</f>
        <v>0</v>
      </c>
      <c r="E9" s="131" cm="1">
        <f t="array" ref="E9">IFERROR(_xlfn.IFS('Current Equipment (Replacing)'!C$12="8.5x11 Pages",SUMIF('Cost Avoidance-Revenue'!C$12:C$51,'Current Equipment (Replacing)'!A14,'Cost Avoidance-Revenue'!H$12:H$51),'Current Equipment (Replacing)'!C$12="Pieces",SUMIF('Cost Avoidance-Revenue'!C$12:C$51,'Current Equipment (Replacing)'!A14,'Cost Avoidance-Revenue'!D$12:D$51)),"-")</f>
        <v>0</v>
      </c>
      <c r="F9" s="132">
        <f>SUMIF('Labor Costs'!E$14:E$33, B9,'Labor Costs'!K$14:K$33)</f>
        <v>0</v>
      </c>
      <c r="G9" s="132">
        <f>'Current Equipment (Replacing)'!G14</f>
        <v>0</v>
      </c>
      <c r="H9" s="133">
        <f>'Current Equipment (Replacing)'!H14</f>
        <v>0</v>
      </c>
      <c r="I9" s="451" t="str">
        <f>IFERROR(C9/$C$12*'Additional Expenditures'!$D$65,"-")</f>
        <v>-</v>
      </c>
      <c r="J9" s="540"/>
      <c r="K9" s="541"/>
      <c r="L9" s="1"/>
      <c r="M9" s="1"/>
      <c r="N9" s="1"/>
      <c r="O9" s="1"/>
    </row>
    <row r="10" spans="1:15">
      <c r="A10" s="1"/>
      <c r="B10" s="448" t="str">
        <f>IF(ISTEXT('Current Equipment (Replacing)'!A15),'Current Equipment (Replacing)'!A15, "-")</f>
        <v>-</v>
      </c>
      <c r="C10" s="130" t="str">
        <f>'Current Equipment (Replacing)'!K24</f>
        <v>-</v>
      </c>
      <c r="D10" s="132">
        <f>SUMIF('Cost Avoidance-Revenue'!C$12:C$51, 'Data Summary'!B10, 'Cost Avoidance-Revenue'!L$12:L$51)</f>
        <v>0</v>
      </c>
      <c r="E10" s="131" cm="1">
        <f t="array" ref="E10">IFERROR(_xlfn.IFS('Current Equipment (Replacing)'!C$12="8.5x11 Pages",SUMIF('Cost Avoidance-Revenue'!C$12:C$51,'Current Equipment (Replacing)'!A15,'Cost Avoidance-Revenue'!H$12:H$51),'Current Equipment (Replacing)'!C$12="Pieces",SUMIF('Cost Avoidance-Revenue'!C$12:C$51,'Current Equipment (Replacing)'!A15,'Cost Avoidance-Revenue'!D$12:D$51)),"-")</f>
        <v>0</v>
      </c>
      <c r="F10" s="132">
        <f>SUMIF('Labor Costs'!E$14:E$33, B10,'Labor Costs'!K$14:K$33)</f>
        <v>0</v>
      </c>
      <c r="G10" s="132">
        <f>'Current Equipment (Replacing)'!G15</f>
        <v>0</v>
      </c>
      <c r="H10" s="133">
        <f>'Current Equipment (Replacing)'!H15</f>
        <v>0</v>
      </c>
      <c r="I10" s="451" t="str">
        <f>IFERROR(C10/$C$12*'Additional Expenditures'!$D$65,"-")</f>
        <v>-</v>
      </c>
      <c r="J10" s="540"/>
      <c r="K10" s="541"/>
      <c r="L10" s="1"/>
      <c r="M10" s="512" t="s">
        <v>24</v>
      </c>
      <c r="N10" s="513"/>
      <c r="O10" s="1"/>
    </row>
    <row r="11" spans="1:15" ht="15.75" customHeight="1">
      <c r="A11" s="1"/>
      <c r="B11" s="449" t="str">
        <f>IF(ISTEXT('Current Equipment (Replacing)'!A16),'Current Equipment (Replacing)'!A16, "-")</f>
        <v>-</v>
      </c>
      <c r="C11" s="130" t="str">
        <f>'Current Equipment (Replacing)'!K25</f>
        <v>-</v>
      </c>
      <c r="D11" s="425">
        <f>SUMIF('Cost Avoidance-Revenue'!C$12:C$51, 'Data Summary'!B11, 'Cost Avoidance-Revenue'!L$12:L$51)</f>
        <v>0</v>
      </c>
      <c r="E11" s="131" cm="1">
        <f t="array" ref="E11">IFERROR(_xlfn.IFS('Current Equipment (Replacing)'!C$12="8.5x11 Pages",SUMIF('Cost Avoidance-Revenue'!C$12:C$51,'Current Equipment (Replacing)'!A16,'Cost Avoidance-Revenue'!H$12:H$51),'Current Equipment (Replacing)'!C$12="Pieces",SUMIF('Cost Avoidance-Revenue'!C$12:C$51,'Current Equipment (Replacing)'!A16,'Cost Avoidance-Revenue'!D$12:D$51)),"-")</f>
        <v>0</v>
      </c>
      <c r="F11" s="425">
        <f>SUMIF('Labor Costs'!E$14:E$33, B11,'Labor Costs'!K$14:K$33)</f>
        <v>0</v>
      </c>
      <c r="G11" s="425">
        <f>'Current Equipment (Replacing)'!G16</f>
        <v>0</v>
      </c>
      <c r="H11" s="426">
        <f>'Current Equipment (Replacing)'!H16</f>
        <v>0</v>
      </c>
      <c r="I11" s="452" t="str">
        <f>IFERROR(C11/$C$12*'Additional Expenditures'!$D$65,"-")</f>
        <v>-</v>
      </c>
      <c r="J11" s="542"/>
      <c r="K11" s="543"/>
      <c r="L11" s="1"/>
      <c r="M11" s="514">
        <f>D12</f>
        <v>0</v>
      </c>
      <c r="N11" s="515"/>
      <c r="O11" s="1"/>
    </row>
    <row r="12" spans="1:15" ht="15.75" customHeight="1">
      <c r="A12" s="1"/>
      <c r="B12" s="329" t="s">
        <v>25</v>
      </c>
      <c r="C12" s="423" t="str">
        <f>IF(ISNUMBER(C7),SUM(C7:C11),"-")</f>
        <v>-</v>
      </c>
      <c r="D12" s="428">
        <f>SUM(D7:D11)</f>
        <v>0</v>
      </c>
      <c r="E12" s="423">
        <f>IF(ISNUMBER(E7),SUM(E7:E11),"-")</f>
        <v>0</v>
      </c>
      <c r="F12" s="420">
        <f>SUM(F7:F11)</f>
        <v>0</v>
      </c>
      <c r="G12" s="421">
        <f>SUM(G7:G11)</f>
        <v>0</v>
      </c>
      <c r="H12" s="422">
        <f>SUM(H7:H11)</f>
        <v>0</v>
      </c>
      <c r="I12" s="424">
        <f>SUM(I7:I11)</f>
        <v>0</v>
      </c>
      <c r="J12" s="544"/>
      <c r="K12" s="545"/>
      <c r="L12" s="1"/>
      <c r="M12" s="1"/>
      <c r="N12" s="1"/>
      <c r="O12" s="1"/>
    </row>
    <row r="13" spans="1:15">
      <c r="A13" s="1"/>
      <c r="B13" s="1"/>
      <c r="C13" s="17"/>
      <c r="D13" s="1"/>
      <c r="E13" s="1"/>
      <c r="F13" s="1"/>
      <c r="G13" s="1"/>
      <c r="H13" s="1"/>
      <c r="I13" s="1"/>
      <c r="J13" s="1"/>
      <c r="K13" s="1"/>
      <c r="L13" s="1"/>
      <c r="M13" s="1"/>
      <c r="N13" s="1"/>
      <c r="O13" s="1"/>
    </row>
    <row r="14" spans="1:15" ht="15.75">
      <c r="A14" s="1"/>
      <c r="B14" s="530" t="s">
        <v>26</v>
      </c>
      <c r="C14" s="531"/>
      <c r="D14" s="532"/>
      <c r="E14" s="531"/>
      <c r="F14" s="531"/>
      <c r="G14" s="531"/>
      <c r="H14" s="531"/>
      <c r="I14" s="531"/>
      <c r="J14" s="531"/>
      <c r="K14" s="533"/>
      <c r="L14" s="1"/>
      <c r="M14" s="1"/>
      <c r="N14" s="1"/>
      <c r="O14" s="1"/>
    </row>
    <row r="15" spans="1:15" ht="29.25">
      <c r="A15" s="1"/>
      <c r="B15" s="126" t="s">
        <v>4</v>
      </c>
      <c r="C15" s="127" t="s">
        <v>27</v>
      </c>
      <c r="D15" s="471" t="s">
        <v>17</v>
      </c>
      <c r="E15" s="124" t="str" cm="1">
        <f t="array" ref="E15">IFERROR(_xlfn.IFS('Current Equipment (Replacing)'!C12="8.5x11 Pages","8.5x11 Pages",'Current Equipment (Replacing)'!C12="Pieces","Pieces"),"FILL CURRENT EQUIPMENT UNITS")</f>
        <v>8.5x11 Pages</v>
      </c>
      <c r="F15" s="126" t="s">
        <v>18</v>
      </c>
      <c r="G15" s="126" t="s">
        <v>19</v>
      </c>
      <c r="H15" s="126" t="s">
        <v>20</v>
      </c>
      <c r="I15" s="436" t="s">
        <v>28</v>
      </c>
      <c r="J15" s="437" t="s">
        <v>21</v>
      </c>
      <c r="K15" s="158" t="s">
        <v>29</v>
      </c>
      <c r="L15" s="1"/>
      <c r="M15" s="1"/>
      <c r="N15" s="1"/>
      <c r="O15" s="1"/>
    </row>
    <row r="16" spans="1:15" ht="15" customHeight="1">
      <c r="A16" s="1"/>
      <c r="B16" s="16" t="str">
        <f>IF(ISTEXT('Proposed Equipment'!A8),'Proposed Equipment'!A8,"-")</f>
        <v>-</v>
      </c>
      <c r="C16" s="121" t="str">
        <f>IF(ISTEXT('Proposed Equipment'!A8),'Proposed Equipment'!R8,"-")</f>
        <v>-</v>
      </c>
      <c r="D16" s="472">
        <f>SUMIF('Cost Avoidance-Revenue'!$C$59:$C$110,'Proposed Equipment'!A8,'Cost Avoidance-Revenue'!L$59:$L110)</f>
        <v>0</v>
      </c>
      <c r="E16" s="139" cm="1">
        <f t="array" ref="E16">IFERROR(_xlfn.IFS('Current Equipment (Replacing)'!C$12="8.5x11 Pages",SUMIF('Cost Avoidance-Revenue'!C$59:C$110,'Proposed Equipment'!A8,'Cost Avoidance-Revenue'!H$59:H$110),'Current Equipment (Replacing)'!C$12="Pieces",SUMIF('Cost Avoidance-Revenue'!C$59:C$110,'Proposed Equipment'!A8,'Cost Avoidance-Revenue'!D$59:D$110)),"-")</f>
        <v>0</v>
      </c>
      <c r="F16" s="134">
        <f>SUMIF('Labor Costs'!$E$43:$E$63,'Proposed Equipment'!A8,'Labor Costs'!$K$43:$K$63)</f>
        <v>0</v>
      </c>
      <c r="G16" s="134">
        <f>'Proposed Equipment'!K8</f>
        <v>0</v>
      </c>
      <c r="H16" s="134" t="str">
        <f>IFERROR('Proposed Equipment'!H8/'Proposed Equipment'!I8,"-")</f>
        <v>-</v>
      </c>
      <c r="I16" s="159">
        <f>'Proposed Equipment'!F8</f>
        <v>0</v>
      </c>
      <c r="J16" s="444" t="str">
        <f>IFERROR(C16/$C$21*'Additional Expenditures'!$E$65,"-")</f>
        <v>-</v>
      </c>
      <c r="K16" s="441" t="str">
        <f>IFERROR(M17/I25,"-")</f>
        <v>-</v>
      </c>
      <c r="L16" s="1"/>
      <c r="M16" s="512" t="s">
        <v>30</v>
      </c>
      <c r="N16" s="513"/>
      <c r="O16" s="1"/>
    </row>
    <row r="17" spans="1:15">
      <c r="A17" s="1"/>
      <c r="B17" s="16" t="str">
        <f>IF(ISTEXT('Proposed Equipment'!A9),'Proposed Equipment'!A9,"-")</f>
        <v>-</v>
      </c>
      <c r="C17" s="121" t="str">
        <f>IF(ISTEXT('Proposed Equipment'!A9),'Proposed Equipment'!R9,"-")</f>
        <v>-</v>
      </c>
      <c r="D17" s="439">
        <f>SUMIF('Cost Avoidance-Revenue'!$C$59:$C$110,'Proposed Equipment'!A9,'Cost Avoidance-Revenue'!L$59:$L111)</f>
        <v>0</v>
      </c>
      <c r="E17" s="139" cm="1">
        <f t="array" ref="E17">IFERROR(_xlfn.IFS('Current Equipment (Replacing)'!C$12="8.5x11 Pages",SUMIF('Cost Avoidance-Revenue'!C$59:C$110,'Proposed Equipment'!A9,'Cost Avoidance-Revenue'!H$59:H$110),'Current Equipment (Replacing)'!C$12="Pieces",SUMIF('Cost Avoidance-Revenue'!C$59:C$110,'Proposed Equipment'!A9,'Cost Avoidance-Revenue'!D$59:D$110)),"-")</f>
        <v>0</v>
      </c>
      <c r="F17" s="134">
        <f>SUMIF('Labor Costs'!$E$43:$E$63,'Proposed Equipment'!A9,'Labor Costs'!$K$43:$K$63)</f>
        <v>0</v>
      </c>
      <c r="G17" s="134">
        <f>'Proposed Equipment'!K9</f>
        <v>0</v>
      </c>
      <c r="H17" s="134" t="str">
        <f>IFERROR('Proposed Equipment'!H9/'Proposed Equipment'!I9,"-")</f>
        <v>-</v>
      </c>
      <c r="I17" s="160">
        <f>'Proposed Equipment'!F9</f>
        <v>0</v>
      </c>
      <c r="J17" s="445" t="str">
        <f>IFERROR(C17/$C$21*'Additional Expenditures'!$E$65,"-")</f>
        <v>-</v>
      </c>
      <c r="K17" s="442" t="str">
        <f>IFERROR(J17/'Proposed Equipment'!R9,"-")</f>
        <v>-</v>
      </c>
      <c r="L17" s="1"/>
      <c r="M17" s="514">
        <f>SUM(F21:J21)</f>
        <v>0</v>
      </c>
      <c r="N17" s="515"/>
      <c r="O17" s="1"/>
    </row>
    <row r="18" spans="1:15">
      <c r="A18" s="1"/>
      <c r="B18" s="16" t="str">
        <f>IF(ISTEXT('Proposed Equipment'!A10),'Proposed Equipment'!A10,"-")</f>
        <v>-</v>
      </c>
      <c r="C18" s="121" t="str">
        <f>IF(ISTEXT('Proposed Equipment'!A10),'Proposed Equipment'!R10,"-")</f>
        <v>-</v>
      </c>
      <c r="D18" s="439">
        <f>SUMIF('Cost Avoidance-Revenue'!$C$59:$C$110,'Proposed Equipment'!A10,'Cost Avoidance-Revenue'!L$59:$L112)</f>
        <v>0</v>
      </c>
      <c r="E18" s="139" cm="1">
        <f t="array" ref="E18">IFERROR(_xlfn.IFS('Current Equipment (Replacing)'!C$12="8.5x11 Pages",SUMIF('Cost Avoidance-Revenue'!C$59:C$110,'Proposed Equipment'!A10,'Cost Avoidance-Revenue'!H$59:H$110),'Current Equipment (Replacing)'!C$12="Pieces",SUMIF('Cost Avoidance-Revenue'!C$59:C$110,'Proposed Equipment'!A10,'Cost Avoidance-Revenue'!D$59:D$110)),"-")</f>
        <v>0</v>
      </c>
      <c r="F18" s="134">
        <f>SUMIF('Labor Costs'!$E$43:$E$63,'Proposed Equipment'!A10,'Labor Costs'!$K$43:$K$63)</f>
        <v>0</v>
      </c>
      <c r="G18" s="134">
        <f>'Proposed Equipment'!K10</f>
        <v>0</v>
      </c>
      <c r="H18" s="134" t="str">
        <f>IFERROR('Proposed Equipment'!H10/'Proposed Equipment'!I10,"-")</f>
        <v>-</v>
      </c>
      <c r="I18" s="160">
        <f>'Proposed Equipment'!F10</f>
        <v>0</v>
      </c>
      <c r="J18" s="445" t="str">
        <f>IFERROR(C18/$C$21*'Additional Expenditures'!$E$65,"-")</f>
        <v>-</v>
      </c>
      <c r="K18" s="442" t="str">
        <f>IFERROR(J18/'Proposed Equipment'!R10,"-")</f>
        <v>-</v>
      </c>
      <c r="L18" s="1"/>
      <c r="M18" s="1"/>
      <c r="N18" s="1"/>
      <c r="O18" s="1"/>
    </row>
    <row r="19" spans="1:15">
      <c r="A19" s="1"/>
      <c r="B19" s="16" t="str">
        <f>IF(ISTEXT('Proposed Equipment'!A11),'Proposed Equipment'!A11,"-")</f>
        <v>-</v>
      </c>
      <c r="C19" s="121" t="str">
        <f>IF(ISTEXT('Proposed Equipment'!A11),'Proposed Equipment'!R11,"-")</f>
        <v>-</v>
      </c>
      <c r="D19" s="439">
        <f>SUMIF('Cost Avoidance-Revenue'!$C$59:$C$110,'Proposed Equipment'!A11,'Cost Avoidance-Revenue'!L$59:$L113)</f>
        <v>0</v>
      </c>
      <c r="E19" s="139" cm="1">
        <f t="array" ref="E19">IFERROR(_xlfn.IFS('Current Equipment (Replacing)'!C$12="8.5x11 Pages",SUMIF('Cost Avoidance-Revenue'!C$59:C$110,'Proposed Equipment'!A11,'Cost Avoidance-Revenue'!H$59:H$110),'Current Equipment (Replacing)'!C$12="Pieces",SUMIF('Cost Avoidance-Revenue'!C$59:C$110,'Proposed Equipment'!A11,'Cost Avoidance-Revenue'!D$59:D$110)),"-")</f>
        <v>0</v>
      </c>
      <c r="F19" s="134">
        <f>SUMIF('Labor Costs'!$E$43:$E$63,'Proposed Equipment'!A11,'Labor Costs'!$K$43:$K$63)</f>
        <v>0</v>
      </c>
      <c r="G19" s="134">
        <f>'Proposed Equipment'!K11</f>
        <v>0</v>
      </c>
      <c r="H19" s="134" t="str">
        <f>IFERROR('Proposed Equipment'!H11/'Proposed Equipment'!I11,"-")</f>
        <v>-</v>
      </c>
      <c r="I19" s="160">
        <f>'Proposed Equipment'!F11</f>
        <v>0</v>
      </c>
      <c r="J19" s="445" t="str">
        <f>IFERROR(C19/$C$21*'Additional Expenditures'!$E$65,"-")</f>
        <v>-</v>
      </c>
      <c r="K19" s="442" t="str">
        <f>IFERROR(J19/'Proposed Equipment'!R11,"-")</f>
        <v>-</v>
      </c>
      <c r="L19" s="1"/>
      <c r="M19" s="512" t="s">
        <v>31</v>
      </c>
      <c r="N19" s="513"/>
      <c r="O19" s="1"/>
    </row>
    <row r="20" spans="1:15">
      <c r="A20" s="1"/>
      <c r="B20" s="16" t="str">
        <f>IF(ISTEXT('Proposed Equipment'!A12),'Proposed Equipment'!A12,"-")</f>
        <v>-</v>
      </c>
      <c r="C20" s="121" t="str">
        <f>IF(ISTEXT('Proposed Equipment'!A12),'Proposed Equipment'!R12,"-")</f>
        <v>-</v>
      </c>
      <c r="D20" s="440">
        <f>SUMIF('Cost Avoidance-Revenue'!$C$59:$C$110,'Proposed Equipment'!A12,'Cost Avoidance-Revenue'!L$59:$L114)</f>
        <v>0</v>
      </c>
      <c r="E20" s="140" cm="1">
        <f t="array" ref="E20">IFERROR(_xlfn.IFS('Current Equipment (Replacing)'!C$12="8.5x11 Pages",SUMIF('Cost Avoidance-Revenue'!C$59:C$110,'Proposed Equipment'!A12,'Cost Avoidance-Revenue'!H$59:H$110),'Current Equipment (Replacing)'!C$12="Pieces",SUMIF('Cost Avoidance-Revenue'!C$59:C$110,'Proposed Equipment'!A12,'Cost Avoidance-Revenue'!D$59:D$110)),"-")</f>
        <v>0</v>
      </c>
      <c r="F20" s="134">
        <f>SUMIF('Labor Costs'!$E$43:$E$63,'Proposed Equipment'!A12,'Labor Costs'!$K$43:$K$63)</f>
        <v>0</v>
      </c>
      <c r="G20" s="134">
        <f>'Proposed Equipment'!K12</f>
        <v>0</v>
      </c>
      <c r="H20" s="134" t="str">
        <f>IFERROR('Proposed Equipment'!H12/'Proposed Equipment'!I12,"-")</f>
        <v>-</v>
      </c>
      <c r="I20" s="161">
        <f>'Proposed Equipment'!F12</f>
        <v>0</v>
      </c>
      <c r="J20" s="446" t="str">
        <f>IFERROR(C20/$C$21*'Additional Expenditures'!$E$65,"-")</f>
        <v>-</v>
      </c>
      <c r="K20" s="443" t="str">
        <f>IFERROR(J20/'Proposed Equipment'!R12,"-")</f>
        <v>-</v>
      </c>
      <c r="L20" s="1"/>
      <c r="M20" s="514">
        <f>D21</f>
        <v>0</v>
      </c>
      <c r="N20" s="515"/>
      <c r="O20" s="1"/>
    </row>
    <row r="21" spans="1:15">
      <c r="A21" s="1"/>
      <c r="B21" s="427" t="s">
        <v>32</v>
      </c>
      <c r="C21" s="122" t="str">
        <f>IF(ISNUMBER(C16),SUM(C16:C20),"-")</f>
        <v>-</v>
      </c>
      <c r="D21" s="335">
        <f>IF(ISNUMBER(D16),SUM(D16:D20),"-")</f>
        <v>0</v>
      </c>
      <c r="E21" s="156">
        <f>IF(ISNUMBER(E16),SUM(E16:E20),"-")</f>
        <v>0</v>
      </c>
      <c r="F21" s="420">
        <f t="shared" ref="F21:H21" si="0">SUM(F16:F20)</f>
        <v>0</v>
      </c>
      <c r="G21" s="421">
        <f t="shared" si="0"/>
        <v>0</v>
      </c>
      <c r="H21" s="422">
        <f t="shared" si="0"/>
        <v>0</v>
      </c>
      <c r="I21" s="420">
        <f>SUM(I16:I20)</f>
        <v>0</v>
      </c>
      <c r="J21" s="157">
        <f>SUM('Additional Expenditures'!E23,'Additional Expenditures'!E30,'Additional Expenditures'!H64)</f>
        <v>0</v>
      </c>
      <c r="K21" s="157"/>
      <c r="L21" s="1"/>
      <c r="M21" s="1"/>
      <c r="N21" s="1"/>
      <c r="O21" s="1"/>
    </row>
    <row r="22" spans="1:15">
      <c r="A22" s="1"/>
      <c r="B22" s="1"/>
      <c r="C22" s="18"/>
      <c r="D22" s="18"/>
      <c r="E22" s="1"/>
      <c r="F22" s="1"/>
      <c r="G22" s="1"/>
      <c r="H22" s="1"/>
      <c r="I22" s="1"/>
      <c r="J22" s="1"/>
      <c r="K22" s="1"/>
      <c r="L22" s="1"/>
      <c r="M22" s="1"/>
      <c r="N22" s="1"/>
      <c r="O22" s="1"/>
    </row>
    <row r="23" spans="1:15">
      <c r="A23" s="1"/>
      <c r="B23" s="1"/>
      <c r="C23" s="525" t="s">
        <v>33</v>
      </c>
      <c r="D23" s="523"/>
      <c r="E23" s="523"/>
      <c r="F23" s="523"/>
      <c r="G23" s="523"/>
      <c r="H23" s="523"/>
      <c r="I23" s="523"/>
      <c r="J23" s="524"/>
      <c r="K23" s="1"/>
      <c r="L23" s="1"/>
      <c r="M23" s="1"/>
      <c r="N23" s="1"/>
      <c r="O23" s="1"/>
    </row>
    <row r="24" spans="1:15" ht="42.75" customHeight="1">
      <c r="A24" s="1"/>
      <c r="B24" s="1"/>
      <c r="C24" s="137" t="s">
        <v>34</v>
      </c>
      <c r="D24" s="137" t="s">
        <v>35</v>
      </c>
      <c r="E24" s="137" t="s">
        <v>36</v>
      </c>
      <c r="F24" s="137" t="s">
        <v>37</v>
      </c>
      <c r="G24" s="123" t="str" cm="1">
        <f t="array" ref="G24">IFERROR(_xlfn.IFS('Current Equipment (Replacing)'!C12="8.5x11 Pages","Average Cost/Page",'Current Equipment (Replacing)'!C12="Pieces","Average Cost/Piece"),"FILL CURRENT EQUIPMENT UNITS")</f>
        <v>Average Cost/Page</v>
      </c>
      <c r="H24" s="123" t="str" cm="1">
        <f t="array" ref="H24">IFERROR(_xlfn.IFS('Current Equipment (Replacing)'!C12="8.5x11 Pages","Total Annual Pages",'Current Equipment (Replacing)'!C12="Pieces","Total Annual Pieces"),"FILL CURRENT EQUIPMENT UNITS")</f>
        <v>Total Annual Pages</v>
      </c>
      <c r="I24" s="123" t="s">
        <v>38</v>
      </c>
      <c r="J24" s="27" t="str" cm="1">
        <f t="array" ref="J24">IFERROR(_xlfn.IFS('Current Equipment (Replacing)'!C12="8.5x11 Pages","Net Pages/Hour",'Current Equipment (Replacing)'!C12="Pieces","Net Speed Pieces/Hour"),"FILL CURRENT EQUIPMENT UNITS")</f>
        <v>Net Pages/Hour</v>
      </c>
      <c r="K24" s="1"/>
      <c r="L24" s="1"/>
      <c r="M24" s="1"/>
      <c r="N24" s="1"/>
      <c r="O24" s="1"/>
    </row>
    <row r="25" spans="1:15" ht="14.25" customHeight="1">
      <c r="A25" s="1"/>
      <c r="B25" s="1"/>
      <c r="C25" s="135" t="s">
        <v>39</v>
      </c>
      <c r="D25" s="136">
        <f>M8</f>
        <v>0</v>
      </c>
      <c r="E25" s="136">
        <f>M11</f>
        <v>0</v>
      </c>
      <c r="F25" s="136">
        <f>IFERROR(E25-D25,"-")</f>
        <v>0</v>
      </c>
      <c r="G25" s="336" t="str">
        <f>IFERROR(ROUND(D25/H25,3),"-")</f>
        <v>-</v>
      </c>
      <c r="H25" s="327" cm="1">
        <f t="array" ref="H25">IFERROR(_xlfn.IFS('Current Equipment (Replacing)'!C12="8.5x11 Pages",'Cost Avoidance-Revenue'!H52,'Current Equipment (Replacing)'!C12="Pieces",'Cost Avoidance-Revenue'!D52),"-")</f>
        <v>0</v>
      </c>
      <c r="I25" s="333" t="str">
        <f>IF(ISNUMBER('Current Equipment (Replacing)'!K21),SUM('Current Equipment (Replacing)'!K21:K25),"-")</f>
        <v>-</v>
      </c>
      <c r="J25" s="333" t="str">
        <f>IFERROR(H25/I25,"-")</f>
        <v>-</v>
      </c>
      <c r="K25" s="1"/>
      <c r="L25" s="1"/>
      <c r="M25" s="1"/>
      <c r="N25" s="1"/>
      <c r="O25" s="1"/>
    </row>
    <row r="26" spans="1:15">
      <c r="A26" s="1"/>
      <c r="B26" s="1"/>
      <c r="C26" s="135" t="s">
        <v>40</v>
      </c>
      <c r="D26" s="136">
        <f>M17</f>
        <v>0</v>
      </c>
      <c r="E26" s="136">
        <f>M20</f>
        <v>0</v>
      </c>
      <c r="F26" s="136">
        <f>IFERROR(E26-D26,"-")</f>
        <v>0</v>
      </c>
      <c r="G26" s="336" t="str">
        <f>IFERROR(ROUND(D26/H26,3),"-")</f>
        <v>-</v>
      </c>
      <c r="H26" s="327" cm="1">
        <f t="array" ref="H26">IFERROR(_xlfn.IFS('Current Equipment (Replacing)'!C12="8.5x11 Pages",'Cost Avoidance-Revenue'!H112,'Current Equipment (Replacing)'!C12="Pieces",'Cost Avoidance-Revenue'!D112),"-")</f>
        <v>0</v>
      </c>
      <c r="I26" s="333" t="str">
        <f>IF(ISNUMBER('Proposed Equipment'!R8),SUM('Proposed Equipment'!R8:R12),"-")</f>
        <v>-</v>
      </c>
      <c r="J26" s="333" t="str">
        <f>IFERROR(H26/I26,"-")</f>
        <v>-</v>
      </c>
      <c r="K26" s="1"/>
      <c r="L26" s="1"/>
      <c r="M26" s="1"/>
      <c r="N26" s="1"/>
      <c r="O26" s="1"/>
    </row>
    <row r="27" spans="1:15">
      <c r="A27" s="1"/>
      <c r="B27" s="1"/>
      <c r="C27" s="138" t="s">
        <v>41</v>
      </c>
      <c r="D27" s="332">
        <f>IFERROR(D26-D25,"-")</f>
        <v>0</v>
      </c>
      <c r="E27" s="332">
        <f t="shared" ref="E27:J27" si="1">IFERROR(E26-E25,"-")</f>
        <v>0</v>
      </c>
      <c r="F27" s="332">
        <f t="shared" si="1"/>
        <v>0</v>
      </c>
      <c r="G27" s="337" t="str">
        <f>IFERROR(ROUND(G26-G25,3),"-")</f>
        <v>-</v>
      </c>
      <c r="H27" s="328">
        <f t="shared" si="1"/>
        <v>0</v>
      </c>
      <c r="I27" s="334" t="str">
        <f t="shared" si="1"/>
        <v>-</v>
      </c>
      <c r="J27" s="334" t="str">
        <f t="shared" si="1"/>
        <v>-</v>
      </c>
      <c r="K27" s="1"/>
      <c r="L27" s="1"/>
      <c r="M27" s="1"/>
      <c r="N27" s="1"/>
      <c r="O27" s="1"/>
    </row>
    <row r="28" spans="1:15">
      <c r="A28" s="1"/>
      <c r="B28" s="1"/>
      <c r="C28" s="1"/>
      <c r="D28" s="1"/>
      <c r="E28" s="1"/>
      <c r="F28" s="1"/>
      <c r="G28" s="1"/>
      <c r="H28" s="1"/>
      <c r="I28" s="1"/>
      <c r="J28" s="1"/>
      <c r="K28" s="1"/>
      <c r="L28" s="1"/>
      <c r="M28" s="1"/>
      <c r="N28" s="1"/>
      <c r="O28" s="1"/>
    </row>
    <row r="29" spans="1:15">
      <c r="A29" s="1"/>
      <c r="B29" s="1"/>
      <c r="C29" s="522" t="s">
        <v>42</v>
      </c>
      <c r="D29" s="523"/>
      <c r="E29" s="523"/>
      <c r="F29" s="523"/>
      <c r="G29" s="523"/>
      <c r="H29" s="523"/>
      <c r="I29" s="523"/>
      <c r="J29" s="524"/>
      <c r="K29" s="1"/>
      <c r="L29" s="1"/>
      <c r="M29" s="1"/>
      <c r="N29" s="1"/>
      <c r="O29" s="1"/>
    </row>
    <row r="30" spans="1:15">
      <c r="A30" s="1"/>
      <c r="B30" s="1"/>
      <c r="C30" s="128" t="s">
        <v>43</v>
      </c>
      <c r="D30" s="128" t="s">
        <v>44</v>
      </c>
      <c r="E30" s="128" t="s">
        <v>45</v>
      </c>
      <c r="F30" s="128" t="s">
        <v>46</v>
      </c>
      <c r="G30" s="128" t="s">
        <v>47</v>
      </c>
      <c r="H30" s="128" t="s">
        <v>48</v>
      </c>
      <c r="I30" s="516" t="s">
        <v>49</v>
      </c>
      <c r="J30" s="517"/>
      <c r="K30" s="1"/>
      <c r="L30" s="1"/>
      <c r="M30" s="1"/>
      <c r="N30" s="1"/>
      <c r="O30" s="1"/>
    </row>
    <row r="31" spans="1:15" ht="45" customHeight="1">
      <c r="A31" s="1"/>
      <c r="B31" s="1"/>
      <c r="C31" s="129" t="s">
        <v>50</v>
      </c>
      <c r="D31" s="142">
        <f>M20</f>
        <v>0</v>
      </c>
      <c r="E31" s="142">
        <f>D31*1.03</f>
        <v>0</v>
      </c>
      <c r="F31" s="142">
        <f t="shared" ref="F31:H31" si="2">E31*1.03</f>
        <v>0</v>
      </c>
      <c r="G31" s="142">
        <f t="shared" si="2"/>
        <v>0</v>
      </c>
      <c r="H31" s="142">
        <f t="shared" si="2"/>
        <v>0</v>
      </c>
      <c r="I31" s="518">
        <f>IF(ISNUMBER(D31),SUM(D31:H31),"-")</f>
        <v>0</v>
      </c>
      <c r="J31" s="519"/>
      <c r="K31" s="1"/>
      <c r="L31" s="1"/>
      <c r="M31" s="1"/>
      <c r="N31" s="1"/>
      <c r="O31" s="1"/>
    </row>
    <row r="32" spans="1:15" ht="30">
      <c r="A32" s="1"/>
      <c r="B32" s="1"/>
      <c r="C32" s="129" t="s">
        <v>51</v>
      </c>
      <c r="D32" s="142">
        <f>M17</f>
        <v>0</v>
      </c>
      <c r="E32" s="142">
        <f>IF(ISNUMBER($D$32),D32*1.03,"-")</f>
        <v>0</v>
      </c>
      <c r="F32" s="142">
        <f>IF(ISNUMBER($D$32),E32*1.03,"-")</f>
        <v>0</v>
      </c>
      <c r="G32" s="142">
        <f>IF(ISNUMBER($D$32),F32*1.03,"-")</f>
        <v>0</v>
      </c>
      <c r="H32" s="142">
        <f>IF(ISNUMBER($D$32),G32*1.03,"-")</f>
        <v>0</v>
      </c>
      <c r="I32" s="518">
        <f>IF(ISNUMBER(D32),SUM(D32:H32),"-")</f>
        <v>0</v>
      </c>
      <c r="J32" s="519"/>
      <c r="K32" s="1"/>
      <c r="L32" s="1"/>
      <c r="M32" s="1"/>
      <c r="N32" s="1"/>
      <c r="O32" s="1"/>
    </row>
    <row r="33" spans="1:15" ht="30" customHeight="1">
      <c r="A33" s="1"/>
      <c r="B33" s="1"/>
      <c r="C33" s="19" t="s">
        <v>52</v>
      </c>
      <c r="D33" s="143">
        <f>IF(ISNUMBER(D31),D31-D32,"-")</f>
        <v>0</v>
      </c>
      <c r="E33" s="143">
        <f t="shared" ref="E33:H33" si="3">IF(ISNUMBER(E31),E31-E32,"-")</f>
        <v>0</v>
      </c>
      <c r="F33" s="143">
        <f t="shared" si="3"/>
        <v>0</v>
      </c>
      <c r="G33" s="143">
        <f t="shared" si="3"/>
        <v>0</v>
      </c>
      <c r="H33" s="143">
        <f t="shared" si="3"/>
        <v>0</v>
      </c>
      <c r="I33" s="520">
        <f t="shared" ref="I33" si="4">IF(ISNUMBER(I31),I31-I32,"-")</f>
        <v>0</v>
      </c>
      <c r="J33" s="521"/>
      <c r="K33" s="1"/>
      <c r="L33" s="1"/>
      <c r="M33" s="1"/>
      <c r="N33" s="1"/>
      <c r="O33" s="1"/>
    </row>
    <row r="34" spans="1:15">
      <c r="A34" s="1"/>
      <c r="B34" s="1"/>
      <c r="C34" s="1"/>
      <c r="D34" s="1"/>
      <c r="E34" s="1"/>
      <c r="F34" s="1"/>
      <c r="G34" s="1"/>
      <c r="H34" s="1"/>
      <c r="I34" s="1"/>
      <c r="J34" s="1"/>
      <c r="K34" s="1"/>
      <c r="L34" s="1"/>
      <c r="M34" s="1"/>
      <c r="N34" s="1"/>
      <c r="O34" s="1"/>
    </row>
    <row r="35" spans="1:15">
      <c r="A35" s="1"/>
      <c r="B35" s="1"/>
      <c r="C35" s="1"/>
      <c r="D35" s="1"/>
      <c r="E35" s="1"/>
      <c r="F35" s="1"/>
      <c r="G35" s="1"/>
      <c r="H35" s="1"/>
      <c r="I35" s="1"/>
      <c r="J35" s="1"/>
      <c r="K35" s="1"/>
      <c r="L35" s="1"/>
      <c r="M35" s="1"/>
      <c r="N35" s="1"/>
      <c r="O35" s="1"/>
    </row>
    <row r="36" spans="1:15">
      <c r="A36" s="1"/>
      <c r="B36" s="1"/>
      <c r="C36" s="1"/>
      <c r="D36" s="1"/>
      <c r="E36" s="1"/>
      <c r="F36" s="1"/>
      <c r="G36" s="1"/>
      <c r="H36" s="1"/>
      <c r="I36" s="1"/>
      <c r="J36" s="1"/>
      <c r="K36" s="1"/>
      <c r="L36" s="1"/>
      <c r="M36" s="1"/>
      <c r="N36" s="1"/>
      <c r="O36" s="1"/>
    </row>
    <row r="37" spans="1:15">
      <c r="A37" s="1"/>
      <c r="B37" s="1"/>
      <c r="C37" s="1"/>
      <c r="D37" s="1"/>
      <c r="E37" s="1"/>
      <c r="F37" s="1"/>
      <c r="G37" s="1"/>
      <c r="H37" s="1"/>
      <c r="I37" s="1"/>
      <c r="J37" s="1"/>
      <c r="K37" s="1"/>
      <c r="L37" s="1"/>
      <c r="M37" s="1"/>
      <c r="N37" s="1"/>
      <c r="O37" s="1"/>
    </row>
    <row r="38" spans="1:15">
      <c r="A38" s="1"/>
      <c r="B38" s="1"/>
      <c r="C38" s="1"/>
      <c r="D38" s="1"/>
      <c r="E38" s="1"/>
      <c r="F38" s="1"/>
      <c r="G38" s="1"/>
      <c r="H38" s="1"/>
      <c r="I38" s="1"/>
      <c r="J38" s="1"/>
      <c r="K38" s="1"/>
      <c r="L38" s="1"/>
      <c r="M38" s="1"/>
      <c r="N38" s="1"/>
      <c r="O38" s="1"/>
    </row>
  </sheetData>
  <sheetProtection sheet="1" objects="1" scenarios="1"/>
  <protectedRanges>
    <protectedRange sqref="J7:K11" name="OSP Rate"/>
  </protectedRanges>
  <mergeCells count="26">
    <mergeCell ref="C23:J23"/>
    <mergeCell ref="B5:K5"/>
    <mergeCell ref="B14:K14"/>
    <mergeCell ref="J6:K6"/>
    <mergeCell ref="J7:K7"/>
    <mergeCell ref="J8:K8"/>
    <mergeCell ref="J9:K9"/>
    <mergeCell ref="J10:K10"/>
    <mergeCell ref="J11:K11"/>
    <mergeCell ref="J12:K12"/>
    <mergeCell ref="I30:J30"/>
    <mergeCell ref="I31:J31"/>
    <mergeCell ref="I32:J32"/>
    <mergeCell ref="I33:J33"/>
    <mergeCell ref="C29:J29"/>
    <mergeCell ref="M19:N19"/>
    <mergeCell ref="M20:N20"/>
    <mergeCell ref="M7:N7"/>
    <mergeCell ref="M10:N10"/>
    <mergeCell ref="M11:N11"/>
    <mergeCell ref="M8:N8"/>
    <mergeCell ref="A1:O1"/>
    <mergeCell ref="A3:O3"/>
    <mergeCell ref="A2:O2"/>
    <mergeCell ref="M16:N16"/>
    <mergeCell ref="M17:N17"/>
  </mergeCells>
  <conditionalFormatting sqref="D27:G27">
    <cfRule type="cellIs" dxfId="17" priority="2" operator="lessThan">
      <formula>0</formula>
    </cfRule>
  </conditionalFormatting>
  <conditionalFormatting sqref="E6">
    <cfRule type="containsText" dxfId="16" priority="7" operator="containsText" text="FILL CURRENT EQUIPMENT UNITS">
      <formula>NOT(ISERROR(SEARCH("FILL CURRENT EQUIPMENT UNITS",E6)))</formula>
    </cfRule>
  </conditionalFormatting>
  <conditionalFormatting sqref="E15">
    <cfRule type="containsText" dxfId="15" priority="6" operator="containsText" text="FILL CURRENT EQUIPMENT UNITS">
      <formula>NOT(ISERROR(SEARCH("FILL CURRENT EQUIPMENT UNITS",E15)))</formula>
    </cfRule>
  </conditionalFormatting>
  <conditionalFormatting sqref="G24:H24">
    <cfRule type="containsText" dxfId="14" priority="4" operator="containsText" text="FILL CURRENT EQUIPMENT UNITS">
      <formula>NOT(ISERROR(SEARCH("FILL CURRENT EQUIPMENT UNITS",G24)))</formula>
    </cfRule>
  </conditionalFormatting>
  <conditionalFormatting sqref="J24">
    <cfRule type="containsText" dxfId="13" priority="5" operator="containsText" text="FILL CURRENT EQUIPMENT UNITS">
      <formula>NOT(ISERROR(SEARCH("FILL CURRENT EQUIPMENT UNITS",J24)))</formula>
    </cfRule>
  </conditionalFormatting>
  <conditionalFormatting sqref="C33:J33">
    <cfRule type="cellIs" dxfId="12" priority="1" operator="lessThan">
      <formula>0</formula>
    </cfRule>
  </conditionalFormatting>
  <dataValidations count="1">
    <dataValidation allowBlank="1" showInputMessage="1" showErrorMessage="1" prompt="Difference between annual expenditures and revenue/cost avoidance" sqref="F24" xr:uid="{27A345B1-82BC-42E3-8768-078DC0E4245A}"/>
  </dataValidations>
  <pageMargins left="1.1000000000000001" right="0.7" top="0.4" bottom="0.25" header="0.3" footer="0.3"/>
  <pageSetup scale="72" orientation="landscape" r:id="rId1"/>
  <ignoredErrors>
    <ignoredError sqref="G2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65469-6B6C-44DA-8D20-F7054C30C112}">
  <sheetPr>
    <pageSetUpPr fitToPage="1"/>
  </sheetPr>
  <dimension ref="A1:L25"/>
  <sheetViews>
    <sheetView topLeftCell="N7" zoomScale="115" zoomScaleNormal="115" workbookViewId="0">
      <selection activeCell="I11" sqref="I11"/>
    </sheetView>
  </sheetViews>
  <sheetFormatPr defaultRowHeight="15" customHeight="1"/>
  <cols>
    <col min="1" max="1" width="26.28515625" customWidth="1"/>
    <col min="2" max="2" width="19.140625" customWidth="1"/>
    <col min="3" max="3" width="16.5703125" customWidth="1"/>
    <col min="4" max="4" width="15.7109375" customWidth="1"/>
    <col min="5" max="5" width="17" customWidth="1"/>
    <col min="6" max="6" width="16" customWidth="1"/>
    <col min="7" max="7" width="19.28515625" customWidth="1"/>
    <col min="8" max="8" width="18.28515625" customWidth="1"/>
    <col min="9" max="9" width="17.42578125" customWidth="1"/>
    <col min="10" max="10" width="15.85546875" customWidth="1"/>
    <col min="11" max="11" width="19.140625" customWidth="1"/>
    <col min="12" max="12" width="16.85546875" customWidth="1"/>
  </cols>
  <sheetData>
    <row r="1" spans="1:12" ht="18">
      <c r="A1" s="559" t="s">
        <v>15</v>
      </c>
      <c r="B1" s="560"/>
      <c r="C1" s="560"/>
      <c r="D1" s="560"/>
      <c r="E1" s="560"/>
      <c r="F1" s="560"/>
      <c r="G1" s="560"/>
      <c r="H1" s="560"/>
      <c r="I1" s="560"/>
      <c r="J1" s="560"/>
      <c r="K1" s="560"/>
      <c r="L1" s="561"/>
    </row>
    <row r="2" spans="1:12" ht="15.75">
      <c r="A2" s="584" t="s">
        <v>1</v>
      </c>
      <c r="B2" s="584"/>
      <c r="C2" s="584"/>
      <c r="D2" s="584"/>
      <c r="E2" s="584"/>
      <c r="F2" s="584"/>
      <c r="G2" s="584"/>
      <c r="H2" s="584"/>
      <c r="I2" s="584"/>
      <c r="J2" s="584"/>
      <c r="K2" s="584"/>
      <c r="L2" s="584"/>
    </row>
    <row r="3" spans="1:12"/>
    <row r="4" spans="1:12" ht="18">
      <c r="A4" s="571" t="s">
        <v>53</v>
      </c>
      <c r="B4" s="572"/>
      <c r="C4" s="572"/>
      <c r="D4" s="572"/>
      <c r="E4" s="572"/>
      <c r="F4" s="572"/>
      <c r="G4" s="573" t="s">
        <v>54</v>
      </c>
      <c r="H4" s="574"/>
      <c r="I4" s="574"/>
      <c r="J4" s="574"/>
      <c r="K4" s="574"/>
      <c r="L4" s="575"/>
    </row>
    <row r="5" spans="1:12" ht="32.25" customHeight="1">
      <c r="A5" s="579" t="s">
        <v>55</v>
      </c>
      <c r="B5" s="580"/>
      <c r="C5" s="580"/>
      <c r="D5" s="580"/>
      <c r="E5" s="580"/>
      <c r="F5" s="580"/>
      <c r="G5" s="562" t="s">
        <v>56</v>
      </c>
      <c r="H5" s="563"/>
      <c r="I5" s="563"/>
      <c r="J5" s="563"/>
      <c r="K5" s="563"/>
      <c r="L5" s="564"/>
    </row>
    <row r="6" spans="1:12" ht="39.75" customHeight="1">
      <c r="A6" s="581"/>
      <c r="B6" s="580"/>
      <c r="C6" s="580"/>
      <c r="D6" s="580"/>
      <c r="E6" s="580"/>
      <c r="F6" s="580"/>
      <c r="G6" s="565"/>
      <c r="H6" s="566"/>
      <c r="I6" s="566"/>
      <c r="J6" s="566"/>
      <c r="K6" s="566"/>
      <c r="L6" s="567"/>
    </row>
    <row r="7" spans="1:12" ht="50.25" customHeight="1">
      <c r="A7" s="581"/>
      <c r="B7" s="580"/>
      <c r="C7" s="580"/>
      <c r="D7" s="580"/>
      <c r="E7" s="580"/>
      <c r="F7" s="580"/>
      <c r="G7" s="565"/>
      <c r="H7" s="566"/>
      <c r="I7" s="566"/>
      <c r="J7" s="566"/>
      <c r="K7" s="566"/>
      <c r="L7" s="567"/>
    </row>
    <row r="8" spans="1:12" ht="30" customHeight="1">
      <c r="A8" s="582"/>
      <c r="B8" s="583"/>
      <c r="C8" s="583"/>
      <c r="D8" s="583"/>
      <c r="E8" s="583"/>
      <c r="F8" s="583"/>
      <c r="G8" s="568"/>
      <c r="H8" s="569"/>
      <c r="I8" s="569"/>
      <c r="J8" s="569"/>
      <c r="K8" s="569"/>
      <c r="L8" s="570"/>
    </row>
    <row r="9" spans="1:12" ht="21.75" customHeight="1"/>
    <row r="10" spans="1:12" ht="15" customHeight="1" thickBot="1">
      <c r="A10" s="576" t="s">
        <v>57</v>
      </c>
      <c r="B10" s="577"/>
      <c r="C10" s="577"/>
      <c r="D10" s="577"/>
      <c r="E10" s="577"/>
      <c r="F10" s="577"/>
      <c r="G10" s="577"/>
      <c r="H10" s="577"/>
      <c r="I10" s="577"/>
      <c r="J10" s="577"/>
      <c r="K10" s="578"/>
    </row>
    <row r="11" spans="1:12" ht="42.75" customHeight="1" thickBot="1">
      <c r="A11" s="238" t="s">
        <v>58</v>
      </c>
      <c r="B11" s="63" t="s">
        <v>59</v>
      </c>
      <c r="C11" s="63" t="s">
        <v>60</v>
      </c>
      <c r="D11" s="63" t="s">
        <v>61</v>
      </c>
      <c r="E11" s="63" t="s">
        <v>62</v>
      </c>
      <c r="F11" s="63" t="s">
        <v>63</v>
      </c>
      <c r="G11" s="63" t="s">
        <v>64</v>
      </c>
      <c r="H11" s="63" t="s">
        <v>65</v>
      </c>
      <c r="I11" s="304" t="str" cm="1">
        <f t="array" ref="I11">IFERROR(_xlfn.IFS('Current Equipment (Replacing)'!C12="8.5x11 Pages","Specified Speed (IPM)",'Current Equipment (Replacing)'!C12="Pieces","Specified Speed (Pieces/M)"),"FILL CURRENT EQUIPMENT UNITS")</f>
        <v>Specified Speed (IPM)</v>
      </c>
      <c r="J11" s="63" t="s">
        <v>66</v>
      </c>
      <c r="K11" s="64" t="s">
        <v>67</v>
      </c>
    </row>
    <row r="12" spans="1:12" ht="15" customHeight="1">
      <c r="A12" s="162"/>
      <c r="B12" s="163"/>
      <c r="C12" s="163" t="s">
        <v>68</v>
      </c>
      <c r="D12" s="163"/>
      <c r="E12" s="163"/>
      <c r="F12" s="392"/>
      <c r="G12" s="301"/>
      <c r="H12" s="301"/>
      <c r="I12" s="489"/>
      <c r="J12" s="163"/>
      <c r="K12" s="305"/>
    </row>
    <row r="13" spans="1:12" ht="15" customHeight="1">
      <c r="A13" s="164"/>
      <c r="B13" s="165"/>
      <c r="C13" s="165"/>
      <c r="D13" s="165"/>
      <c r="E13" s="165"/>
      <c r="F13" s="393"/>
      <c r="G13" s="302"/>
      <c r="H13" s="302"/>
      <c r="I13" s="490"/>
      <c r="J13" s="165"/>
      <c r="K13" s="306"/>
    </row>
    <row r="14" spans="1:12" ht="15" customHeight="1">
      <c r="A14" s="164"/>
      <c r="B14" s="165"/>
      <c r="C14" s="165"/>
      <c r="D14" s="165"/>
      <c r="E14" s="165"/>
      <c r="F14" s="299"/>
      <c r="G14" s="302"/>
      <c r="H14" s="302"/>
      <c r="I14" s="490"/>
      <c r="J14" s="165"/>
      <c r="K14" s="306"/>
    </row>
    <row r="15" spans="1:12" ht="15" customHeight="1">
      <c r="A15" s="164"/>
      <c r="B15" s="165"/>
      <c r="C15" s="165"/>
      <c r="D15" s="165"/>
      <c r="E15" s="165"/>
      <c r="F15" s="299"/>
      <c r="G15" s="302"/>
      <c r="H15" s="302"/>
      <c r="I15" s="490"/>
      <c r="J15" s="165"/>
      <c r="K15" s="306"/>
    </row>
    <row r="16" spans="1:12" ht="15" customHeight="1" thickBot="1">
      <c r="A16" s="166"/>
      <c r="B16" s="167"/>
      <c r="C16" s="167"/>
      <c r="D16" s="167"/>
      <c r="E16" s="167"/>
      <c r="F16" s="300"/>
      <c r="G16" s="303"/>
      <c r="H16" s="303"/>
      <c r="I16" s="491"/>
      <c r="J16" s="167"/>
      <c r="K16" s="307"/>
    </row>
    <row r="18" spans="1:12" ht="15" customHeight="1">
      <c r="A18" s="548" t="s">
        <v>69</v>
      </c>
      <c r="B18" s="549"/>
      <c r="C18" s="549"/>
      <c r="D18" s="549"/>
      <c r="E18" s="549"/>
      <c r="F18" s="549"/>
      <c r="G18" s="549"/>
      <c r="H18" s="550"/>
      <c r="I18" s="549"/>
      <c r="J18" s="549"/>
      <c r="K18" s="549"/>
      <c r="L18" s="551"/>
    </row>
    <row r="19" spans="1:12" ht="15" customHeight="1">
      <c r="A19" s="546" t="s">
        <v>58</v>
      </c>
      <c r="B19" s="552" t="str" cm="1">
        <f t="array" ref="B19">IFERROR(_xlfn.IFS('Current Equipment (Replacing)'!C12="8.5x11 Pages","Annual Impression Count",'Current Equipment (Replacing)'!C12="Pieces","Annual Piece Count"),"FILL CURRENT EQUIPMENT UNITS")</f>
        <v>Annual Impression Count</v>
      </c>
      <c r="C19" s="553"/>
      <c r="D19" s="554"/>
      <c r="E19" s="555" t="s">
        <v>70</v>
      </c>
      <c r="F19" s="556"/>
      <c r="G19" s="556"/>
      <c r="H19" s="473"/>
      <c r="I19" s="556" t="s">
        <v>71</v>
      </c>
      <c r="J19" s="557"/>
      <c r="K19" s="557"/>
      <c r="L19" s="558"/>
    </row>
    <row r="20" spans="1:12" ht="43.5">
      <c r="A20" s="547"/>
      <c r="B20" s="276">
        <v>2023</v>
      </c>
      <c r="C20" s="118">
        <v>2024</v>
      </c>
      <c r="D20" s="119">
        <v>2025</v>
      </c>
      <c r="E20" s="486">
        <v>2023</v>
      </c>
      <c r="F20" s="487">
        <v>2024</v>
      </c>
      <c r="G20" s="488">
        <v>2025</v>
      </c>
      <c r="H20" s="483"/>
      <c r="I20" s="478" t="str" cm="1">
        <f t="array" ref="I20">IFERROR(_xlfn.IFS('Current Equipment (Replacing)'!C12="8.5x11 Pages","Average Annual Impressions",'Current Equipment (Replacing)'!C12="Pieces","Average Annual Pieces"),"FILL CURRENT EQUIPMENT UNITS")</f>
        <v>Average Annual Impressions</v>
      </c>
      <c r="J20" s="279" t="str" cm="1">
        <f t="array" ref="J20">IFERROR(_xlfn.IFS('Current Equipment (Replacing)'!C12="8.5x11 Pages","Average Annual 8.5x11 Pages",'Current Equipment (Replacing)'!C12="Pieces","N/A"),"FILL CURRENT EQUIPMENT UNITS")</f>
        <v>Average Annual 8.5x11 Pages</v>
      </c>
      <c r="K20" s="280" t="s">
        <v>72</v>
      </c>
      <c r="L20" s="281" t="str" cm="1">
        <f t="array" ref="L20">IFERROR(_xlfn.IFS('Current Equipment (Replacing)'!C12="8.5x11 Pages","Average Net Speed (IPM)",'Current Equipment (Replacing)'!C12="Pieces","Average Net Speed (Pieces/M)"),"FILL CURRENT EQUIPMENT UNITS")</f>
        <v>Average Net Speed (IPM)</v>
      </c>
    </row>
    <row r="21" spans="1:12" ht="15" customHeight="1">
      <c r="A21" s="296" t="str">
        <f>IF(ISTEXT(A12),A12,"")</f>
        <v/>
      </c>
      <c r="B21" s="273"/>
      <c r="C21" s="434"/>
      <c r="D21" s="434"/>
      <c r="E21" s="482"/>
      <c r="F21" s="484"/>
      <c r="G21" s="485"/>
      <c r="H21" s="474"/>
      <c r="I21" s="479" t="str">
        <f>IFERROR(AVERAGEIF(B21:D21,"&gt;0"), "-")</f>
        <v>-</v>
      </c>
      <c r="J21" s="268" t="str">
        <f>IFERROR(K12*I21, "-")</f>
        <v>-</v>
      </c>
      <c r="K21" s="269" t="str">
        <f>IFERROR(AVERAGEIF(E21:G21,"&gt;0"),"-")</f>
        <v>-</v>
      </c>
      <c r="L21" s="270" t="str">
        <f>IFERROR(I21/K21/60, "-")</f>
        <v>-</v>
      </c>
    </row>
    <row r="22" spans="1:12" ht="15" customHeight="1">
      <c r="A22" s="297" t="str">
        <f t="shared" ref="A22:A25" si="0">IF(ISTEXT(A13),A13,"")</f>
        <v/>
      </c>
      <c r="B22" s="274"/>
      <c r="C22" s="187"/>
      <c r="D22" s="266"/>
      <c r="E22" s="262"/>
      <c r="F22" s="188"/>
      <c r="G22" s="476"/>
      <c r="H22" s="474"/>
      <c r="I22" s="480" t="str">
        <f t="shared" ref="I22:I25" si="1">IFERROR(AVERAGEIF(B22:D22,"&gt;0"), "-")</f>
        <v>-</v>
      </c>
      <c r="J22" s="190" t="str">
        <f>IFERROR(K13*I22, "-")</f>
        <v>-</v>
      </c>
      <c r="K22" s="191" t="str">
        <f t="shared" ref="K22:K25" si="2">IFERROR(AVERAGEIF(E22:G22,"&gt;0"),"-")</f>
        <v>-</v>
      </c>
      <c r="L22" s="277" t="str">
        <f t="shared" ref="L22:L25" si="3">IFERROR(I22/K22/60, "-")</f>
        <v>-</v>
      </c>
    </row>
    <row r="23" spans="1:12" ht="15" customHeight="1">
      <c r="A23" s="297" t="str">
        <f t="shared" si="0"/>
        <v/>
      </c>
      <c r="B23" s="274"/>
      <c r="C23" s="187"/>
      <c r="D23" s="266"/>
      <c r="E23" s="263"/>
      <c r="F23" s="187"/>
      <c r="G23" s="266"/>
      <c r="H23" s="474"/>
      <c r="I23" s="480" t="str">
        <f t="shared" si="1"/>
        <v>-</v>
      </c>
      <c r="J23" s="190" t="str">
        <f>IFERROR(K14*I23, "-")</f>
        <v>-</v>
      </c>
      <c r="K23" s="191" t="str">
        <f t="shared" si="2"/>
        <v>-</v>
      </c>
      <c r="L23" s="277" t="str">
        <f t="shared" si="3"/>
        <v>-</v>
      </c>
    </row>
    <row r="24" spans="1:12" ht="15" customHeight="1">
      <c r="A24" s="297" t="str">
        <f t="shared" si="0"/>
        <v/>
      </c>
      <c r="B24" s="274"/>
      <c r="C24" s="187"/>
      <c r="D24" s="266"/>
      <c r="E24" s="263"/>
      <c r="F24" s="187"/>
      <c r="G24" s="266"/>
      <c r="H24" s="474"/>
      <c r="I24" s="480" t="str">
        <f t="shared" si="1"/>
        <v>-</v>
      </c>
      <c r="J24" s="190" t="str">
        <f>IFERROR(K15*I24, "-")</f>
        <v>-</v>
      </c>
      <c r="K24" s="191" t="str">
        <f t="shared" si="2"/>
        <v>-</v>
      </c>
      <c r="L24" s="277" t="str">
        <f t="shared" si="3"/>
        <v>-</v>
      </c>
    </row>
    <row r="25" spans="1:12" ht="15" customHeight="1">
      <c r="A25" s="298" t="str">
        <f t="shared" si="0"/>
        <v/>
      </c>
      <c r="B25" s="275"/>
      <c r="C25" s="189"/>
      <c r="D25" s="267"/>
      <c r="E25" s="264"/>
      <c r="F25" s="265"/>
      <c r="G25" s="477"/>
      <c r="H25" s="475"/>
      <c r="I25" s="481" t="str">
        <f t="shared" si="1"/>
        <v>-</v>
      </c>
      <c r="J25" s="271" t="str">
        <f>IFERROR(K16*I25, "-")</f>
        <v>-</v>
      </c>
      <c r="K25" s="272" t="str">
        <f t="shared" si="2"/>
        <v>-</v>
      </c>
      <c r="L25" s="278" t="str">
        <f t="shared" si="3"/>
        <v>-</v>
      </c>
    </row>
  </sheetData>
  <sheetProtection sheet="1" objects="1" scenarios="1"/>
  <protectedRanges>
    <protectedRange sqref="B23:G25" name="Production Info"/>
    <protectedRange sqref="A12:K16" name="Current EQ Info"/>
    <protectedRange sqref="B21:D22" name="Production Info_1"/>
    <protectedRange sqref="E21:G22" name="Production Info_2"/>
  </protectedRanges>
  <mergeCells count="12">
    <mergeCell ref="A1:L1"/>
    <mergeCell ref="G5:L8"/>
    <mergeCell ref="A4:F4"/>
    <mergeCell ref="G4:L4"/>
    <mergeCell ref="A10:K10"/>
    <mergeCell ref="A5:F8"/>
    <mergeCell ref="A2:L2"/>
    <mergeCell ref="A19:A20"/>
    <mergeCell ref="A18:L18"/>
    <mergeCell ref="B19:D19"/>
    <mergeCell ref="E19:G19"/>
    <mergeCell ref="I19:L19"/>
  </mergeCells>
  <phoneticPr fontId="10" type="noConversion"/>
  <conditionalFormatting sqref="B19">
    <cfRule type="containsText" dxfId="11" priority="1" operator="containsText" text="FILL CURRENT EQUIPMENT UNITS">
      <formula>NOT(ISERROR(SEARCH("FILL CURRENT EQUIPMENT UNITS",B19)))</formula>
    </cfRule>
  </conditionalFormatting>
  <conditionalFormatting sqref="I11">
    <cfRule type="containsText" dxfId="10" priority="4" operator="containsText" text="FILL CURRENT EQUIPMENT UNITS">
      <formula>NOT(ISERROR(SEARCH("FILL CURRENT EQUIPMENT UNITS",I11)))</formula>
    </cfRule>
  </conditionalFormatting>
  <conditionalFormatting sqref="I20:J20">
    <cfRule type="containsText" dxfId="9" priority="3" operator="containsText" text="FILL CURRENT EQUIPMENT UNITS">
      <formula>NOT(ISERROR(SEARCH("FILL CURRENT EQUIPMENT UNITS",I20)))</formula>
    </cfRule>
  </conditionalFormatting>
  <conditionalFormatting sqref="L20">
    <cfRule type="containsText" dxfId="8" priority="2" operator="containsText" text="FILL CURRENT EQUIPMENT UNITS">
      <formula>NOT(ISERROR(SEARCH("FILL CURRENT EQUIPMENT UNITS",L20)))</formula>
    </cfRule>
  </conditionalFormatting>
  <dataValidations count="14">
    <dataValidation type="list" allowBlank="1" showInputMessage="1" showErrorMessage="1" sqref="B12:B16" xr:uid="{5B092CA3-7530-49AE-851A-B3920ECC3982}">
      <formula1>"Digital, Offset, N/A"</formula1>
    </dataValidation>
    <dataValidation type="list" allowBlank="1" showInputMessage="1" showErrorMessage="1" sqref="D12:D16" xr:uid="{40178E37-0244-43C3-8512-F6DCCA73602A}">
      <formula1>"Rollfed, Sheetfed, Rollfed/Sheetfed, N/A"</formula1>
    </dataValidation>
    <dataValidation type="list" allowBlank="1" showInputMessage="1" showErrorMessage="1" sqref="C12:C16" xr:uid="{3409BC5B-16A4-4B62-B99A-C0C929096C1A}">
      <formula1>"8.5x11 Pages, Pieces"</formula1>
    </dataValidation>
    <dataValidation allowBlank="1" showErrorMessage="1" sqref="I12:I16" xr:uid="{66055FE1-7D1C-4806-A14F-EB8FCB7BBFA0}"/>
    <dataValidation allowBlank="1" showInputMessage="1" showErrorMessage="1" promptTitle="Impression Count" prompt="List the total impression count per year for the current equipment that will be replaced." sqref="B21:D25" xr:uid="{9E980797-355F-437F-A8B6-8D6ECFC92C21}"/>
    <dataValidation allowBlank="1" showInputMessage="1" showErrorMessage="1" promptTitle="Make/Model" prompt="The make and model of a press to be replaced by this request. For example: Canon 7011" sqref="A11" xr:uid="{6A49E0BA-6A3C-42EC-BE82-7C6D0F6A2D37}"/>
    <dataValidation allowBlank="1" showInputMessage="1" showErrorMessage="1" promptTitle="Digital/Offset" prompt="Is the press being replaced a digital press or an offset press?" sqref="B11" xr:uid="{E6A167F5-8FA7-4928-9DD5-A94E6C6AD0E7}"/>
    <dataValidation allowBlank="1" showInputMessage="1" showErrorMessage="1" promptTitle="Units" prompt="Is production measured in pages produced/impressions, or finished pieces. All production presses should select 8.5x11 pages. Bindery/finishing equipment and inserters would be measured in pieces." sqref="C11" xr:uid="{0E599B76-9A41-4726-81F1-A58E87EF220A}"/>
    <dataValidation allowBlank="1" showInputMessage="1" showErrorMessage="1" promptTitle="Year Acquired" prompt="The year acquired should match what is reported in the IPPOR" sqref="E11" xr:uid="{61F34B20-D2FC-4E34-9AE5-0AF7CC624CB7}"/>
    <dataValidation allowBlank="1" showInputMessage="1" showErrorMessage="1" promptTitle="Click Charge" prompt="The Click Charge should match what is reported in the IPPOR. If there is none, please enter &quot;0&quot;" sqref="F11" xr:uid="{5E7E291E-D81B-4344-A6A0-D54D6897545A}"/>
    <dataValidation allowBlank="1" showInputMessage="1" showErrorMessage="1" promptTitle="Service Cost" prompt="This should reflect the total annual service cost of the equipment to be replaced." sqref="G11" xr:uid="{68F4C177-DABF-49A2-B041-E346F808C66D}"/>
    <dataValidation allowBlank="1" showInputMessage="1" showErrorMessage="1" promptTitle="Depreciation" prompt="Annual Value paid towards GS Smart Loan or Lease. If it is not applicable, please enter &quot;0&quot;" sqref="H11" xr:uid="{C0572E4C-DF5B-4715-8B6D-A164ECE319C6}"/>
    <dataValidation type="whole" allowBlank="1" showInputMessage="1" showErrorMessage="1" sqref="H12:H16" xr:uid="{E2806019-74E9-42B7-8F36-8BC5A4EDD87D}">
      <formula1>0</formula1>
      <formula2>9999999</formula2>
    </dataValidation>
    <dataValidation allowBlank="1" showInputMessage="1" showErrorMessage="1" promptTitle="IPM" prompt="Impressions Per Minute" sqref="I11" xr:uid="{D2E7413F-FDB8-41AC-B18F-D85274EAD308}"/>
  </dataValidations>
  <pageMargins left="0.7" right="0.7" top="0.75" bottom="0.75" header="0.3" footer="0.3"/>
  <pageSetup scale="37" orientation="landscape" r:id="rId1"/>
  <ignoredErrors>
    <ignoredError sqref="I21:K22"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9FD90-C3F1-42D0-ABDE-A75299F957CB}">
  <sheetPr>
    <pageSetUpPr fitToPage="1"/>
  </sheetPr>
  <dimension ref="A1:S12"/>
  <sheetViews>
    <sheetView topLeftCell="D1" zoomScaleNormal="100" workbookViewId="0">
      <selection activeCell="M8" sqref="M8"/>
    </sheetView>
  </sheetViews>
  <sheetFormatPr defaultRowHeight="15"/>
  <cols>
    <col min="1" max="1" width="20" customWidth="1"/>
    <col min="2" max="2" width="11" customWidth="1"/>
    <col min="3" max="3" width="17" customWidth="1"/>
    <col min="4" max="4" width="17.85546875" customWidth="1"/>
    <col min="5" max="5" width="10.28515625" customWidth="1"/>
    <col min="6" max="7" width="11.28515625" customWidth="1"/>
    <col min="8" max="8" width="19.85546875" customWidth="1"/>
    <col min="9" max="9" width="16.42578125" customWidth="1"/>
    <col min="10" max="10" width="14.5703125" customWidth="1"/>
    <col min="11" max="11" width="16.42578125" customWidth="1"/>
    <col min="12" max="12" width="15.42578125" customWidth="1"/>
    <col min="13" max="13" width="16.42578125" customWidth="1"/>
    <col min="14" max="14" width="14.42578125" customWidth="1"/>
    <col min="15" max="15" width="16.85546875" customWidth="1"/>
    <col min="16" max="16" width="18.140625" customWidth="1"/>
    <col min="17" max="17" width="18.7109375" customWidth="1"/>
    <col min="18" max="18" width="19.28515625" customWidth="1"/>
    <col min="19" max="19" width="17.42578125" style="14" customWidth="1"/>
    <col min="20" max="20" width="16.42578125" customWidth="1"/>
  </cols>
  <sheetData>
    <row r="1" spans="1:19" ht="18">
      <c r="A1" s="585" t="s">
        <v>73</v>
      </c>
      <c r="B1" s="586"/>
      <c r="C1" s="586"/>
      <c r="D1" s="586"/>
      <c r="E1" s="586"/>
      <c r="F1" s="586"/>
      <c r="G1" s="586"/>
      <c r="H1" s="586"/>
      <c r="I1" s="586"/>
      <c r="J1" s="586"/>
      <c r="K1" s="586"/>
      <c r="L1" s="586"/>
      <c r="M1" s="586"/>
      <c r="N1" s="586"/>
      <c r="O1" s="586"/>
      <c r="P1" s="586"/>
      <c r="Q1" s="586"/>
      <c r="R1" s="587"/>
      <c r="S1"/>
    </row>
    <row r="2" spans="1:19" ht="15.75">
      <c r="A2" s="532" t="s">
        <v>1</v>
      </c>
      <c r="B2" s="532"/>
      <c r="C2" s="532"/>
      <c r="D2" s="532"/>
      <c r="E2" s="532"/>
      <c r="F2" s="532"/>
      <c r="G2" s="532"/>
      <c r="H2" s="532"/>
      <c r="I2" s="532"/>
      <c r="J2" s="532"/>
      <c r="K2" s="532"/>
      <c r="L2" s="532"/>
      <c r="M2" s="532"/>
      <c r="N2" s="532"/>
      <c r="O2" s="532"/>
      <c r="P2" s="532"/>
      <c r="Q2" s="532"/>
      <c r="R2" s="532"/>
      <c r="S2"/>
    </row>
    <row r="3" spans="1:19" ht="19.5" customHeight="1">
      <c r="A3" s="225"/>
      <c r="Q3" s="14"/>
      <c r="S3"/>
    </row>
    <row r="4" spans="1:19" ht="19.5" customHeight="1">
      <c r="A4" s="591" t="s">
        <v>74</v>
      </c>
      <c r="B4" s="592"/>
      <c r="C4" s="592"/>
      <c r="D4" s="592"/>
      <c r="E4" s="592"/>
      <c r="F4" s="592"/>
      <c r="G4" s="592"/>
      <c r="H4" s="592"/>
      <c r="I4" s="592"/>
      <c r="J4" s="592"/>
      <c r="K4" s="592"/>
      <c r="L4" s="593"/>
      <c r="Q4" s="14"/>
      <c r="S4"/>
    </row>
    <row r="5" spans="1:19" ht="95.25" customHeight="1">
      <c r="A5" s="588" t="s">
        <v>75</v>
      </c>
      <c r="B5" s="589"/>
      <c r="C5" s="589"/>
      <c r="D5" s="589"/>
      <c r="E5" s="589"/>
      <c r="F5" s="589"/>
      <c r="G5" s="589"/>
      <c r="H5" s="589"/>
      <c r="I5" s="589"/>
      <c r="J5" s="589"/>
      <c r="K5" s="589"/>
      <c r="L5" s="590"/>
      <c r="Q5" s="14"/>
      <c r="S5"/>
    </row>
    <row r="6" spans="1:19" ht="18" customHeight="1">
      <c r="A6" s="225"/>
      <c r="Q6" s="14"/>
      <c r="S6"/>
    </row>
    <row r="7" spans="1:19" ht="45">
      <c r="A7" s="110" t="s">
        <v>58</v>
      </c>
      <c r="B7" s="111" t="s">
        <v>59</v>
      </c>
      <c r="C7" s="111" t="s">
        <v>61</v>
      </c>
      <c r="D7" s="111" t="s">
        <v>76</v>
      </c>
      <c r="E7" s="111" t="s">
        <v>77</v>
      </c>
      <c r="F7" s="111" t="s">
        <v>78</v>
      </c>
      <c r="G7" s="111" t="s">
        <v>79</v>
      </c>
      <c r="H7" s="111" t="s">
        <v>80</v>
      </c>
      <c r="I7" s="111" t="s">
        <v>81</v>
      </c>
      <c r="J7" s="111" t="s">
        <v>63</v>
      </c>
      <c r="K7" s="111" t="s">
        <v>64</v>
      </c>
      <c r="L7" s="111" t="s">
        <v>82</v>
      </c>
      <c r="M7" s="111" t="s">
        <v>83</v>
      </c>
      <c r="N7" s="111" t="s">
        <v>67</v>
      </c>
      <c r="O7" s="111" t="str" cm="1">
        <f t="array" ref="O7">IFERROR(_xlfn.IFS('Current Equipment (Replacing)'!C12="8.5x11 Pages","Specified Speed (IPM)",'Current Equipment (Replacing)'!C12="Pieces","Specified Speed (Pieces/M)"),"FILL CURRENT EQUIPMENT UNITS")</f>
        <v>Specified Speed (IPM)</v>
      </c>
      <c r="P7" s="111" t="s">
        <v>84</v>
      </c>
      <c r="Q7" s="112" t="str" cm="1">
        <f t="array" ref="Q7">IFERROR(_xlfn.IFS('Current Equipment (Replacing)'!C12="8.5x11 Pages","Annual Projected 8.5x11 Pages",'Current Equipment (Replacing)'!C12="Pieces","Annual Projected Pieces"),"FILL CURRENT EQUIPMENT UNITS")</f>
        <v>Annual Projected 8.5x11 Pages</v>
      </c>
      <c r="R7" s="113" t="s">
        <v>27</v>
      </c>
      <c r="S7"/>
    </row>
    <row r="8" spans="1:19">
      <c r="A8" s="114"/>
      <c r="B8" s="168"/>
      <c r="C8" s="168"/>
      <c r="D8" s="330"/>
      <c r="E8" s="170"/>
      <c r="F8" s="171"/>
      <c r="G8" s="171"/>
      <c r="H8" s="331" t="str">
        <f>IF('Proposed Equipment'!$D8&gt;0,SUM('Proposed Equipment'!$F8,'Proposed Equipment'!$D8*(1+'Proposed Equipment'!$E8)), "-")</f>
        <v>-</v>
      </c>
      <c r="I8" s="315"/>
      <c r="J8" s="168"/>
      <c r="K8" s="330"/>
      <c r="L8" s="331" t="str">
        <f>IFERROR('Proposed Equipment'!$H8/'Proposed Equipment'!$I8+'Proposed Equipment'!$K8,"-")</f>
        <v>-</v>
      </c>
      <c r="M8" s="168"/>
      <c r="N8" s="168"/>
      <c r="O8" s="168"/>
      <c r="P8" s="109">
        <f>IF('Current Equipment (Replacing)'!$C$12="8.5x11 Pages",SUMIF('Cost Avoidance-Revenue'!$C$59:$C$110,'Proposed Equipment'!$A8,'Cost Avoidance-Revenue'!$G$59:$G$110),"N/A")</f>
        <v>0</v>
      </c>
      <c r="Q8" s="109" cm="1">
        <f t="array" ref="Q8">IFERROR(_xlfn.IFS('Current Equipment (Replacing)'!$C$12="8.5x11 Pages",SUMIF('Cost Avoidance-Revenue'!$C$59:$C$110,'Proposed Equipment'!A8,'Cost Avoidance-Revenue'!$H$59:$H$110),'Current Equipment (Replacing)'!C12="Pieces",SUMIF('Cost Avoidance-Revenue'!C59:C110,'Proposed Equipment'!A8,'Cost Avoidance-Revenue'!D59:D110)),"0")</f>
        <v>0</v>
      </c>
      <c r="R8" s="115" t="str" cm="1">
        <f t="array" ref="R8">IFERROR(_xlfn.IFS('Current Equipment (Replacing)'!$C$12="8.5x11 Pages",'Proposed Equipment'!$P8/('Proposed Equipment'!$O8*0.75)/60,'Current Equipment (Replacing)'!$C$12="Pieces",'Proposed Equipment'!Q8/('Proposed Equipment'!O8*0.75)/60),"0")</f>
        <v>0</v>
      </c>
      <c r="S8"/>
    </row>
    <row r="9" spans="1:19">
      <c r="A9" s="114"/>
      <c r="B9" s="168"/>
      <c r="C9" s="168"/>
      <c r="D9" s="169"/>
      <c r="E9" s="170"/>
      <c r="F9" s="171"/>
      <c r="G9" s="171"/>
      <c r="H9" s="108" t="str">
        <f>IF('Proposed Equipment'!$D9&gt;0,SUM('Proposed Equipment'!$F9,'Proposed Equipment'!$D9*(1+'Proposed Equipment'!$E9)), "-")</f>
        <v>-</v>
      </c>
      <c r="I9" s="315"/>
      <c r="J9" s="168"/>
      <c r="K9" s="169"/>
      <c r="L9" s="108" t="str">
        <f>IFERROR('Proposed Equipment'!$H9/'Proposed Equipment'!$I9+'Proposed Equipment'!$K9,"-")</f>
        <v>-</v>
      </c>
      <c r="M9" s="168"/>
      <c r="N9" s="168"/>
      <c r="O9" s="168"/>
      <c r="P9" s="109">
        <f>IF('Current Equipment (Replacing)'!$C$12="8.5x11 Pages",SUMIF('Cost Avoidance-Revenue'!$C$59:$C$110,'Proposed Equipment'!$A9,'Cost Avoidance-Revenue'!$G$59:$G$110),"N/A")</f>
        <v>0</v>
      </c>
      <c r="Q9" s="109" cm="1">
        <f t="array" ref="Q9">IFERROR(_xlfn.IFS('Current Equipment (Replacing)'!$C$12="8.5x11 Pages",SUMIF('Cost Avoidance-Revenue'!$C$59:$C$110,'Proposed Equipment'!A9,'Cost Avoidance-Revenue'!$H$59:$H$110),'Current Equipment (Replacing)'!C13="Pieces",SUMIF('Cost Avoidance-Revenue'!C60:C111,'Proposed Equipment'!A9,'Cost Avoidance-Revenue'!D60:D111)),"0")</f>
        <v>0</v>
      </c>
      <c r="R9" s="115" t="str" cm="1">
        <f t="array" ref="R9">IFERROR(_xlfn.IFS('Current Equipment (Replacing)'!$C$12="8.5x11 Pages",'Proposed Equipment'!$P9/('Proposed Equipment'!$O9*0.75)/60,'Current Equipment (Replacing)'!$C$12="Pieces",'Proposed Equipment'!Q9/('Proposed Equipment'!O9*0.75)/60),"0")</f>
        <v>0</v>
      </c>
      <c r="S9"/>
    </row>
    <row r="10" spans="1:19">
      <c r="A10" s="114"/>
      <c r="B10" s="168"/>
      <c r="C10" s="168"/>
      <c r="D10" s="169"/>
      <c r="E10" s="170"/>
      <c r="F10" s="168"/>
      <c r="G10" s="168"/>
      <c r="H10" s="108" t="str">
        <f>IF('Proposed Equipment'!$D10&gt;0,SUM('Proposed Equipment'!$F10,'Proposed Equipment'!$D10*(1+'Proposed Equipment'!$E10)), "-")</f>
        <v>-</v>
      </c>
      <c r="I10" s="315"/>
      <c r="J10" s="168"/>
      <c r="K10" s="169"/>
      <c r="L10" s="108" t="str">
        <f>IFERROR('Proposed Equipment'!$H10/'Proposed Equipment'!$I10+'Proposed Equipment'!$K10,"-")</f>
        <v>-</v>
      </c>
      <c r="M10" s="168"/>
      <c r="N10" s="168"/>
      <c r="O10" s="168"/>
      <c r="P10" s="109">
        <f>IF('Current Equipment (Replacing)'!$C$12="8.5x11 Pages",SUMIF('Cost Avoidance-Revenue'!$C$59:$C$110,'Proposed Equipment'!$A10,'Cost Avoidance-Revenue'!$G$59:$G$110),"N/A")</f>
        <v>0</v>
      </c>
      <c r="Q10" s="109" cm="1">
        <f t="array" ref="Q10">IFERROR(_xlfn.IFS('Current Equipment (Replacing)'!$C$12="8.5x11 Pages",SUMIF('Cost Avoidance-Revenue'!$C$59:$C$110,'Proposed Equipment'!A10,'Cost Avoidance-Revenue'!$H$59:$H$110),'Current Equipment (Replacing)'!C14="Pieces",SUMIF('Cost Avoidance-Revenue'!C61:C112,'Proposed Equipment'!A10,'Cost Avoidance-Revenue'!D61:D112)),"0")</f>
        <v>0</v>
      </c>
      <c r="R10" s="115" t="str" cm="1">
        <f t="array" ref="R10">IFERROR(_xlfn.IFS('Current Equipment (Replacing)'!$C$12="8.5x11 Pages",'Proposed Equipment'!$P10/('Proposed Equipment'!$O10*0.75)/60,'Current Equipment (Replacing)'!$C$12="Pieces",'Proposed Equipment'!Q10/('Proposed Equipment'!O10*0.75)/60),"0")</f>
        <v>0</v>
      </c>
      <c r="S10"/>
    </row>
    <row r="11" spans="1:19">
      <c r="A11" s="114"/>
      <c r="B11" s="168"/>
      <c r="C11" s="168"/>
      <c r="D11" s="169"/>
      <c r="E11" s="170"/>
      <c r="F11" s="168"/>
      <c r="G11" s="168"/>
      <c r="H11" s="108" t="str">
        <f>IF('Proposed Equipment'!$D11&gt;0,SUM('Proposed Equipment'!$F11,'Proposed Equipment'!$D11*(1+'Proposed Equipment'!$E11)), "-")</f>
        <v>-</v>
      </c>
      <c r="I11" s="315"/>
      <c r="J11" s="168"/>
      <c r="K11" s="169"/>
      <c r="L11" s="108" t="str">
        <f>IFERROR('Proposed Equipment'!$H11/'Proposed Equipment'!$I11+'Proposed Equipment'!$K11,"-")</f>
        <v>-</v>
      </c>
      <c r="M11" s="168"/>
      <c r="N11" s="168"/>
      <c r="O11" s="168"/>
      <c r="P11" s="109">
        <f>IF('Current Equipment (Replacing)'!$C$12="8.5x11 Pages",SUMIF('Cost Avoidance-Revenue'!$C$59:$C$110,'Proposed Equipment'!$A11,'Cost Avoidance-Revenue'!$G$59:$G$110),"N/A")</f>
        <v>0</v>
      </c>
      <c r="Q11" s="109" cm="1">
        <f t="array" ref="Q11">IFERROR(_xlfn.IFS('Current Equipment (Replacing)'!$C$12="8.5x11 Pages",SUMIF('Cost Avoidance-Revenue'!$C$59:$C$110,'Proposed Equipment'!A11,'Cost Avoidance-Revenue'!$H$59:$H$110),'Current Equipment (Replacing)'!C15="Pieces",SUMIF('Cost Avoidance-Revenue'!C62:C113,'Proposed Equipment'!A11,'Cost Avoidance-Revenue'!D62:D113)),"0")</f>
        <v>0</v>
      </c>
      <c r="R11" s="115" t="str" cm="1">
        <f t="array" ref="R11">IFERROR(_xlfn.IFS('Current Equipment (Replacing)'!$C$12="8.5x11 Pages",'Proposed Equipment'!$P11/('Proposed Equipment'!$O11*0.75)/60,'Current Equipment (Replacing)'!$C$12="Pieces",'Proposed Equipment'!Q11/('Proposed Equipment'!O11*0.75)/60),"0")</f>
        <v>0</v>
      </c>
      <c r="S11"/>
    </row>
    <row r="12" spans="1:19">
      <c r="A12" s="116"/>
      <c r="B12" s="172"/>
      <c r="C12" s="172"/>
      <c r="D12" s="173"/>
      <c r="E12" s="174"/>
      <c r="F12" s="172"/>
      <c r="G12" s="172"/>
      <c r="H12" s="117" t="str">
        <f>IF('Proposed Equipment'!$D12&gt;0,SUM('Proposed Equipment'!$F12,'Proposed Equipment'!$D12*(1+'Proposed Equipment'!$E12)), "-")</f>
        <v>-</v>
      </c>
      <c r="I12" s="316"/>
      <c r="J12" s="172"/>
      <c r="K12" s="173"/>
      <c r="L12" s="117" t="str">
        <f>IFERROR('Proposed Equipment'!$H12/'Proposed Equipment'!$I12+'Proposed Equipment'!$K12,"-")</f>
        <v>-</v>
      </c>
      <c r="M12" s="172"/>
      <c r="N12" s="172"/>
      <c r="O12" s="172"/>
      <c r="P12" s="467">
        <f>IF('Current Equipment (Replacing)'!$C$12="8.5x11 Pages",SUMIF('Cost Avoidance-Revenue'!$C$59:$C$110,'Proposed Equipment'!$A12,'Cost Avoidance-Revenue'!$G$59:$G$110),"N/A")</f>
        <v>0</v>
      </c>
      <c r="Q12" s="467" cm="1">
        <f t="array" ref="Q12">IFERROR(_xlfn.IFS('Current Equipment (Replacing)'!$C$12="8.5x11 Pages",SUMIF('Cost Avoidance-Revenue'!$C$59:$C$110,'Proposed Equipment'!A12,'Cost Avoidance-Revenue'!$H$59:$H$110),'Current Equipment (Replacing)'!C16="Pieces",SUMIF('Cost Avoidance-Revenue'!C63:C114,'Proposed Equipment'!A12,'Cost Avoidance-Revenue'!D63:D114)),"0")</f>
        <v>0</v>
      </c>
      <c r="R12" s="468" t="str" cm="1">
        <f t="array" ref="R12">IFERROR(_xlfn.IFS('Current Equipment (Replacing)'!$C$12="8.5x11 Pages",'Proposed Equipment'!$P12/('Proposed Equipment'!$O12*0.75)/60,'Current Equipment (Replacing)'!$C$12="Pieces",'Proposed Equipment'!Q12/('Proposed Equipment'!O12*0.75)/60),"0")</f>
        <v>0</v>
      </c>
      <c r="S12"/>
    </row>
  </sheetData>
  <sheetProtection sheet="1" objects="1" scenarios="1"/>
  <protectedRanges>
    <protectedRange sqref="A8:G12" name="Range1"/>
    <protectedRange sqref="I8:K12" name="Range2"/>
    <protectedRange sqref="M8:O12" name="Range3"/>
  </protectedRanges>
  <mergeCells count="4">
    <mergeCell ref="A1:R1"/>
    <mergeCell ref="A5:L5"/>
    <mergeCell ref="A4:L4"/>
    <mergeCell ref="A2:R2"/>
  </mergeCells>
  <phoneticPr fontId="10" type="noConversion"/>
  <conditionalFormatting sqref="O7">
    <cfRule type="containsText" dxfId="7" priority="1" operator="containsText" text="FILL CURRENT EQUIPMENT UNITS">
      <formula>NOT(ISERROR(SEARCH("FILL CURRENT EQUIPMENT UNITS",O7)))</formula>
    </cfRule>
  </conditionalFormatting>
  <conditionalFormatting sqref="Q7">
    <cfRule type="containsText" dxfId="6" priority="2" operator="containsText" text="FILL CURRENT EQUIPMENT UNITS">
      <formula>NOT(ISERROR(SEARCH("FILL CURRENT EQUIPMENT UNITS",Q7)))</formula>
    </cfRule>
  </conditionalFormatting>
  <dataValidations count="16">
    <dataValidation type="list" allowBlank="1" showInputMessage="1" showErrorMessage="1" sqref="B8:B12" xr:uid="{C7CC3D26-F832-4B0E-B688-2E007223A406}">
      <formula1>"Digital, Offset, N/A"</formula1>
    </dataValidation>
    <dataValidation type="list" allowBlank="1" showInputMessage="1" showErrorMessage="1" sqref="C8:C12" xr:uid="{38F0421D-4EF9-4974-A5AB-300B224A855B}">
      <formula1>"Rollfed, Sheetfed, Rollfed/Sheetfed, N/A"</formula1>
    </dataValidation>
    <dataValidation allowBlank="1" showInputMessage="1" showErrorMessage="1" promptTitle="Make/Model" prompt="Make and model of the press your in-plant is requesting to procure." sqref="A7" xr:uid="{04C4BE3B-357E-4E58-A12E-9D6EE52A6D4C}"/>
    <dataValidation allowBlank="1" showInputMessage="1" showErrorMessage="1" promptTitle="Equipment Cost" prompt="The total cost of the requested equipment. Include software and upgrades/extra hardware. DO NOT include training costs, sales tax, or services costs." sqref="D7" xr:uid="{777ED8F8-F093-45F4-A716-91644ECFBBB1}"/>
    <dataValidation allowBlank="1" showInputMessage="1" showErrorMessage="1" promptTitle="Sales Tax Rate" prompt="Enter the sales tax rate as a percentage for the county where the requested equipment will be stationed." sqref="E7" xr:uid="{CBED7D90-AD42-4489-B8CF-CDCA725213F3}"/>
    <dataValidation allowBlank="1" showInputMessage="1" showErrorMessage="1" promptTitle="Training Cost" prompt="The cost for initial training of the new equipment. This is almost never $0." sqref="F7" xr:uid="{3DDD9684-7B57-462F-B8D8-6E607F719A78}"/>
    <dataValidation type="list" allowBlank="1" showInputMessage="1" showErrorMessage="1" sqref="G8:G12" xr:uid="{CCA57864-B4C3-42BF-9792-5DA9D7F64DDF}">
      <formula1>"Purchase, Lease"</formula1>
    </dataValidation>
    <dataValidation allowBlank="1" showInputMessage="1" showErrorMessage="1" promptTitle="Depreciation" prompt="The RIT spreadsheet assumes a depreciation period of five years because the &quot;Financial Summary&quot; tab shows the ROI over five years. The number can also be 10 for purchases over $2 million." sqref="I7" xr:uid="{BA867787-3E23-44FF-80C1-C06AE581FA27}"/>
    <dataValidation allowBlank="1" showInputMessage="1" showErrorMessage="1" promptTitle="Click Charge" prompt="The click charge for the requested press. If there is no click charge, enter &quot;0&quot;." sqref="J7" xr:uid="{08AFF50A-0598-4AC5-8DF5-6A2F63B5C257}"/>
    <dataValidation allowBlank="1" showInputMessage="1" showErrorMessage="1" promptTitle="Annual Service Cost" prompt="The cost to service the machine over the course of 12 months." sqref="K7" xr:uid="{EBF29F29-E65A-4EB0-A854-F734632A44E9}"/>
    <dataValidation allowBlank="1" showInputMessage="1" showErrorMessage="1" promptTitle="Purchase Cost" prompt="The cost of the press multiplied by the tax rate. Does not include Training Cost as that is accounted for on the &quot;Financial Summary&quot; tab." sqref="H7" xr:uid="{404A6AE6-97DE-4CBB-806D-E4B8618F59EB}"/>
    <dataValidation type="list" allowBlank="1" showInputMessage="1" showErrorMessage="1" sqref="I8:I12" xr:uid="{AC1D80E2-04AE-4309-B7F0-124DA3C26E0B}">
      <formula1>"5, 10"</formula1>
    </dataValidation>
    <dataValidation allowBlank="1" showInputMessage="1" showErrorMessage="1" promptTitle="Annual Cost" prompt="The annual cost of the press including equipment cost and sales tax divided by the depreciation period. Annual Service Cost is considered separate._x000a_" sqref="L7" xr:uid="{4126D22F-833F-4F8D-B517-569FC4D49A4C}"/>
    <dataValidation allowBlank="1" showInputMessage="1" showErrorMessage="1" promptTitle="Impression Size" prompt="Typical impression size for this press. If your press is sheetfed, you can enter the most common sheet size used for the press. If your impression size is not listed, please inform the In-Plant Unit." sqref="M7" xr:uid="{54FD2934-DB11-4BA8-879A-636647656D78}"/>
    <dataValidation allowBlank="1" showInputMessage="1" showErrorMessage="1" promptTitle="Pages per Impression" prompt="The number of 8.5x11 Pages printed per impression, based on the standard impression size. For example, if the standard impression size is 11x17, the number of 8.5x11 pages produced per impression is two." sqref="N7" xr:uid="{A2E71083-807D-4804-A681-AFCD1001E80A}"/>
    <dataValidation allowBlank="1" showInputMessage="1" showErrorMessage="1" promptTitle="Specified Speed" prompt="The specified speed of the equipment." sqref="O7" xr:uid="{5F9CE855-DACC-47F6-AD09-141EC69022C9}"/>
  </dataValidations>
  <pageMargins left="0.7" right="0.7" top="0.75" bottom="0.75" header="0.3" footer="0.3"/>
  <pageSetup scale="46" orientation="landscape"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D2714-945A-4DD4-B92E-A1C73A938534}">
  <sheetPr>
    <tabColor rgb="FF89C7EE"/>
  </sheetPr>
  <dimension ref="A1:N135"/>
  <sheetViews>
    <sheetView topLeftCell="A53" zoomScale="70" zoomScaleNormal="70" workbookViewId="0">
      <selection activeCell="F59" sqref="F59"/>
    </sheetView>
  </sheetViews>
  <sheetFormatPr defaultRowHeight="15" customHeight="1"/>
  <cols>
    <col min="1" max="1" width="57.140625" customWidth="1"/>
    <col min="2" max="2" width="19.85546875" customWidth="1"/>
    <col min="3" max="3" width="19.42578125" customWidth="1"/>
    <col min="4" max="4" width="15.5703125" customWidth="1"/>
    <col min="5" max="5" width="20.85546875" customWidth="1"/>
    <col min="6" max="6" width="19.42578125" customWidth="1"/>
    <col min="7" max="7" width="18.85546875" customWidth="1"/>
    <col min="8" max="8" width="20.7109375" customWidth="1"/>
    <col min="9" max="9" width="52.28515625" customWidth="1"/>
    <col min="10" max="11" width="15" style="9" customWidth="1"/>
    <col min="12" max="12" width="17.140625" style="13" bestFit="1" customWidth="1"/>
    <col min="13" max="13" width="57.140625" customWidth="1"/>
    <col min="14" max="14" width="25.5703125" customWidth="1"/>
  </cols>
  <sheetData>
    <row r="1" spans="1:14" ht="18">
      <c r="A1" s="596" t="s">
        <v>85</v>
      </c>
      <c r="B1" s="597"/>
      <c r="C1" s="597"/>
      <c r="D1" s="597"/>
      <c r="E1" s="597"/>
      <c r="F1" s="597"/>
      <c r="G1" s="597"/>
      <c r="H1" s="597"/>
      <c r="I1" s="597"/>
      <c r="J1" s="597"/>
      <c r="K1" s="597"/>
      <c r="L1" s="597"/>
      <c r="M1" s="597"/>
      <c r="N1" s="597"/>
    </row>
    <row r="2" spans="1:14" ht="15.75">
      <c r="A2" s="511" t="s">
        <v>1</v>
      </c>
      <c r="B2" s="511"/>
      <c r="C2" s="511"/>
      <c r="D2" s="511"/>
      <c r="E2" s="511"/>
      <c r="F2" s="511"/>
      <c r="G2" s="511"/>
      <c r="H2" s="511"/>
      <c r="I2" s="511"/>
      <c r="J2" s="511"/>
      <c r="K2" s="511"/>
      <c r="L2" s="511"/>
      <c r="M2" s="511"/>
      <c r="N2" s="511"/>
    </row>
    <row r="3" spans="1:14">
      <c r="A3" s="45"/>
      <c r="B3" s="45"/>
      <c r="C3" s="45"/>
      <c r="D3" s="45"/>
      <c r="E3" s="45"/>
      <c r="F3" s="45"/>
      <c r="G3" s="45"/>
      <c r="H3" s="45"/>
      <c r="I3" s="45"/>
      <c r="J3" s="65"/>
      <c r="K3" s="65"/>
      <c r="L3" s="66"/>
      <c r="M3" s="45"/>
      <c r="N3" s="1"/>
    </row>
    <row r="4" spans="1:14" ht="18">
      <c r="A4" s="45"/>
      <c r="B4" s="45"/>
      <c r="C4" s="45"/>
      <c r="D4" s="571" t="s">
        <v>86</v>
      </c>
      <c r="E4" s="594"/>
      <c r="F4" s="594"/>
      <c r="G4" s="594"/>
      <c r="H4" s="594"/>
      <c r="I4" s="594"/>
      <c r="J4" s="595"/>
      <c r="K4" s="65"/>
      <c r="L4" s="66"/>
      <c r="M4" s="45"/>
      <c r="N4" s="1"/>
    </row>
    <row r="5" spans="1:14" ht="54" customHeight="1">
      <c r="A5" s="45"/>
      <c r="B5" s="45"/>
      <c r="C5" s="45"/>
      <c r="D5" s="602" t="s">
        <v>87</v>
      </c>
      <c r="E5" s="603"/>
      <c r="F5" s="603"/>
      <c r="G5" s="603"/>
      <c r="H5" s="603"/>
      <c r="I5" s="603"/>
      <c r="J5" s="604"/>
      <c r="K5" s="65"/>
      <c r="L5" s="66"/>
      <c r="M5" s="45"/>
      <c r="N5" s="1"/>
    </row>
    <row r="6" spans="1:14" ht="15.75" customHeight="1">
      <c r="A6" s="40" t="s">
        <v>88</v>
      </c>
      <c r="B6" s="67">
        <f>B114-B54</f>
        <v>0</v>
      </c>
      <c r="C6" s="68"/>
      <c r="D6" s="602"/>
      <c r="E6" s="603"/>
      <c r="F6" s="603"/>
      <c r="G6" s="603"/>
      <c r="H6" s="603"/>
      <c r="I6" s="603"/>
      <c r="J6" s="604"/>
      <c r="K6" s="65"/>
      <c r="L6" s="66"/>
      <c r="M6" s="45"/>
      <c r="N6" s="1"/>
    </row>
    <row r="7" spans="1:14" ht="15.75" customHeight="1">
      <c r="A7" s="40" t="s">
        <v>89</v>
      </c>
      <c r="B7" s="120" t="str">
        <f>IFERROR(B115-B55,"-")</f>
        <v>-</v>
      </c>
      <c r="C7" s="45"/>
      <c r="D7" s="602"/>
      <c r="E7" s="603"/>
      <c r="F7" s="603"/>
      <c r="G7" s="603"/>
      <c r="H7" s="603"/>
      <c r="I7" s="603"/>
      <c r="J7" s="604"/>
      <c r="K7" s="65"/>
      <c r="L7" s="66"/>
      <c r="M7" s="45"/>
      <c r="N7" s="1"/>
    </row>
    <row r="8" spans="1:14" ht="121.5" customHeight="1">
      <c r="A8" s="45"/>
      <c r="B8" s="45"/>
      <c r="C8" s="45"/>
      <c r="D8" s="605"/>
      <c r="E8" s="606"/>
      <c r="F8" s="606"/>
      <c r="G8" s="606"/>
      <c r="H8" s="606"/>
      <c r="I8" s="606"/>
      <c r="J8" s="607"/>
      <c r="K8" s="65"/>
      <c r="L8" s="66"/>
      <c r="M8" s="45"/>
      <c r="N8" s="1"/>
    </row>
    <row r="9" spans="1:14">
      <c r="A9" s="45"/>
      <c r="B9" s="45"/>
      <c r="C9" s="45"/>
      <c r="D9" s="45"/>
      <c r="E9" s="45"/>
      <c r="F9" s="45"/>
      <c r="G9" s="45"/>
      <c r="H9" s="45"/>
      <c r="I9" s="45"/>
      <c r="J9" s="65"/>
      <c r="K9" s="65"/>
      <c r="L9" s="66"/>
      <c r="M9" s="45"/>
      <c r="N9" s="1"/>
    </row>
    <row r="10" spans="1:14" ht="18">
      <c r="A10" s="598" t="s">
        <v>90</v>
      </c>
      <c r="B10" s="599"/>
      <c r="C10" s="599"/>
      <c r="D10" s="599"/>
      <c r="E10" s="599"/>
      <c r="F10" s="599"/>
      <c r="G10" s="599"/>
      <c r="H10" s="599"/>
      <c r="I10" s="599"/>
      <c r="J10" s="599"/>
      <c r="K10" s="599"/>
      <c r="L10" s="599"/>
      <c r="M10" s="600"/>
      <c r="N10" s="7"/>
    </row>
    <row r="11" spans="1:14" ht="43.5">
      <c r="A11" s="399" t="s">
        <v>91</v>
      </c>
      <c r="B11" s="400" t="s">
        <v>92</v>
      </c>
      <c r="C11" s="400" t="s">
        <v>93</v>
      </c>
      <c r="D11" s="401" t="s">
        <v>94</v>
      </c>
      <c r="E11" s="402" t="s">
        <v>95</v>
      </c>
      <c r="F11" s="402" t="str" cm="1">
        <f t="array" ref="F11">IFERROR(_xlfn.IFS('Current Equipment (Replacing)'!C12="8.5x11 Pages","8.5x11 PAGES PER IMPRESSION",'Current Equipment (Replacing)'!C12="N/A","Specified Speed (Pieces/M)"),"FILL CURRENT EQUIPMENT UNITS")</f>
        <v>8.5x11 PAGES PER IMPRESSION</v>
      </c>
      <c r="G11" s="402" t="s">
        <v>96</v>
      </c>
      <c r="H11" s="46" t="s">
        <v>97</v>
      </c>
      <c r="I11" s="402" t="s">
        <v>98</v>
      </c>
      <c r="J11" s="403" t="s">
        <v>99</v>
      </c>
      <c r="K11" s="403" t="s">
        <v>100</v>
      </c>
      <c r="L11" s="404" t="s">
        <v>101</v>
      </c>
      <c r="M11" s="405" t="s">
        <v>102</v>
      </c>
      <c r="N11" s="1"/>
    </row>
    <row r="12" spans="1:14">
      <c r="A12" s="406"/>
      <c r="B12" s="407"/>
      <c r="C12" s="407"/>
      <c r="D12" s="408"/>
      <c r="E12" s="435"/>
      <c r="F12" s="228"/>
      <c r="G12" s="409">
        <f t="shared" ref="G12:G51" si="0">D12*E12</f>
        <v>0</v>
      </c>
      <c r="H12" s="409">
        <f>F12*G12</f>
        <v>0</v>
      </c>
      <c r="I12" s="407"/>
      <c r="J12" s="410" t="str">
        <f t="shared" ref="J12:J51" si="1">IFERROR(L12/H12, "0")</f>
        <v>0</v>
      </c>
      <c r="K12" s="410" t="str">
        <f>IFERROR(L12/D12, "0")</f>
        <v>0</v>
      </c>
      <c r="L12" s="411"/>
      <c r="M12" s="412"/>
      <c r="N12" s="1"/>
    </row>
    <row r="13" spans="1:14">
      <c r="A13" s="394"/>
      <c r="B13" s="175"/>
      <c r="C13" s="175"/>
      <c r="D13" s="395"/>
      <c r="E13" s="395"/>
      <c r="F13" s="227"/>
      <c r="G13" s="374">
        <f t="shared" ref="G13:G41" si="2">D13*E13</f>
        <v>0</v>
      </c>
      <c r="H13" s="374">
        <f t="shared" ref="H13:H41" si="3">F13*G13</f>
        <v>0</v>
      </c>
      <c r="I13" s="175"/>
      <c r="J13" s="375" t="str">
        <f t="shared" ref="J13:J41" si="4">IFERROR(L13/H13, "0")</f>
        <v>0</v>
      </c>
      <c r="K13" s="375" t="str">
        <f t="shared" ref="K13:K51" si="5">IFERROR(L13/D13, "0")</f>
        <v>0</v>
      </c>
      <c r="L13" s="396"/>
      <c r="M13" s="397"/>
      <c r="N13" s="1"/>
    </row>
    <row r="14" spans="1:14">
      <c r="A14" s="394"/>
      <c r="B14" s="175"/>
      <c r="C14" s="175"/>
      <c r="D14" s="395"/>
      <c r="E14" s="395"/>
      <c r="F14" s="227"/>
      <c r="G14" s="374">
        <f t="shared" si="2"/>
        <v>0</v>
      </c>
      <c r="H14" s="374">
        <f t="shared" si="3"/>
        <v>0</v>
      </c>
      <c r="I14" s="175"/>
      <c r="J14" s="375" t="str">
        <f t="shared" si="4"/>
        <v>0</v>
      </c>
      <c r="K14" s="375" t="str">
        <f t="shared" si="5"/>
        <v>0</v>
      </c>
      <c r="L14" s="396"/>
      <c r="M14" s="397"/>
      <c r="N14" s="1"/>
    </row>
    <row r="15" spans="1:14">
      <c r="A15" s="394"/>
      <c r="B15" s="175"/>
      <c r="C15" s="175"/>
      <c r="D15" s="395"/>
      <c r="E15" s="395"/>
      <c r="F15" s="227"/>
      <c r="G15" s="374">
        <f t="shared" si="2"/>
        <v>0</v>
      </c>
      <c r="H15" s="374">
        <f t="shared" si="3"/>
        <v>0</v>
      </c>
      <c r="I15" s="175"/>
      <c r="J15" s="375" t="str">
        <f t="shared" si="4"/>
        <v>0</v>
      </c>
      <c r="K15" s="375" t="str">
        <f t="shared" si="5"/>
        <v>0</v>
      </c>
      <c r="L15" s="396"/>
      <c r="M15" s="397"/>
      <c r="N15" s="1"/>
    </row>
    <row r="16" spans="1:14">
      <c r="A16" s="394"/>
      <c r="B16" s="175"/>
      <c r="C16" s="175"/>
      <c r="D16" s="395"/>
      <c r="E16" s="395"/>
      <c r="F16" s="227"/>
      <c r="G16" s="374">
        <f t="shared" si="2"/>
        <v>0</v>
      </c>
      <c r="H16" s="374">
        <f t="shared" si="3"/>
        <v>0</v>
      </c>
      <c r="I16" s="175"/>
      <c r="J16" s="375" t="str">
        <f t="shared" si="4"/>
        <v>0</v>
      </c>
      <c r="K16" s="375" t="str">
        <f t="shared" si="5"/>
        <v>0</v>
      </c>
      <c r="L16" s="396"/>
      <c r="M16" s="397"/>
      <c r="N16" s="1"/>
    </row>
    <row r="17" spans="1:14">
      <c r="A17" s="394"/>
      <c r="B17" s="175"/>
      <c r="C17" s="175"/>
      <c r="D17" s="395"/>
      <c r="E17" s="395"/>
      <c r="F17" s="227"/>
      <c r="G17" s="374">
        <f t="shared" si="2"/>
        <v>0</v>
      </c>
      <c r="H17" s="374">
        <f>F17*G17</f>
        <v>0</v>
      </c>
      <c r="I17" s="175"/>
      <c r="J17" s="375" t="str">
        <f t="shared" ref="J17:J19" si="6">IFERROR(L17/H17, "0")</f>
        <v>0</v>
      </c>
      <c r="K17" s="375" t="str">
        <f>IFERROR(L17/D17, "0")</f>
        <v>0</v>
      </c>
      <c r="L17" s="396"/>
      <c r="M17" s="397"/>
      <c r="N17" s="1"/>
    </row>
    <row r="18" spans="1:14">
      <c r="A18" s="394"/>
      <c r="B18" s="175"/>
      <c r="C18" s="175"/>
      <c r="D18" s="395"/>
      <c r="E18" s="395"/>
      <c r="F18" s="227"/>
      <c r="G18" s="374">
        <f t="shared" si="2"/>
        <v>0</v>
      </c>
      <c r="H18" s="374">
        <f>F18*G18</f>
        <v>0</v>
      </c>
      <c r="I18" s="175"/>
      <c r="J18" s="375" t="str">
        <f t="shared" si="6"/>
        <v>0</v>
      </c>
      <c r="K18" s="375" t="str">
        <f>IFERROR(L18/D18, "0")</f>
        <v>0</v>
      </c>
      <c r="L18" s="396"/>
      <c r="M18" s="397"/>
      <c r="N18" s="1"/>
    </row>
    <row r="19" spans="1:14">
      <c r="A19" s="394"/>
      <c r="B19" s="175"/>
      <c r="C19" s="175"/>
      <c r="D19" s="395"/>
      <c r="E19" s="395"/>
      <c r="F19" s="227"/>
      <c r="G19" s="374">
        <f t="shared" si="2"/>
        <v>0</v>
      </c>
      <c r="H19" s="374">
        <f>F19*G19</f>
        <v>0</v>
      </c>
      <c r="I19" s="175"/>
      <c r="J19" s="375" t="str">
        <f t="shared" si="6"/>
        <v>0</v>
      </c>
      <c r="K19" s="375" t="str">
        <f>IFERROR(L19/D19, "0")</f>
        <v>0</v>
      </c>
      <c r="L19" s="396"/>
      <c r="M19" s="397"/>
      <c r="N19" s="1"/>
    </row>
    <row r="20" spans="1:14">
      <c r="A20" s="394"/>
      <c r="B20" s="175"/>
      <c r="C20" s="175"/>
      <c r="D20" s="395"/>
      <c r="E20" s="395"/>
      <c r="F20" s="227"/>
      <c r="G20" s="374">
        <f t="shared" si="2"/>
        <v>0</v>
      </c>
      <c r="H20" s="374">
        <f t="shared" si="3"/>
        <v>0</v>
      </c>
      <c r="I20" s="175"/>
      <c r="J20" s="375" t="str">
        <f t="shared" si="4"/>
        <v>0</v>
      </c>
      <c r="K20" s="375" t="str">
        <f t="shared" si="5"/>
        <v>0</v>
      </c>
      <c r="L20" s="396"/>
      <c r="M20" s="397"/>
      <c r="N20" s="1"/>
    </row>
    <row r="21" spans="1:14">
      <c r="A21" s="394"/>
      <c r="B21" s="175"/>
      <c r="C21" s="175"/>
      <c r="D21" s="395"/>
      <c r="E21" s="395"/>
      <c r="F21" s="227"/>
      <c r="G21" s="374">
        <f>D21*E21</f>
        <v>0</v>
      </c>
      <c r="H21" s="374">
        <f>F21*G21</f>
        <v>0</v>
      </c>
      <c r="I21" s="175"/>
      <c r="J21" s="375" t="str">
        <f t="shared" si="4"/>
        <v>0</v>
      </c>
      <c r="K21" s="375" t="str">
        <f>IFERROR(L21/D21, "0")</f>
        <v>0</v>
      </c>
      <c r="L21" s="396"/>
      <c r="M21" s="397"/>
      <c r="N21" s="1"/>
    </row>
    <row r="22" spans="1:14" hidden="1">
      <c r="A22" s="394"/>
      <c r="B22" s="175"/>
      <c r="C22" s="175"/>
      <c r="D22" s="395"/>
      <c r="E22" s="395"/>
      <c r="F22" s="227"/>
      <c r="G22" s="374">
        <f t="shared" ref="G22:G31" si="7">D22*E22</f>
        <v>0</v>
      </c>
      <c r="H22" s="374">
        <f>F22*G22</f>
        <v>0</v>
      </c>
      <c r="I22" s="175"/>
      <c r="J22" s="375" t="str">
        <f t="shared" si="4"/>
        <v>0</v>
      </c>
      <c r="K22" s="375" t="str">
        <f>IFERROR(L22/D22, "0")</f>
        <v>0</v>
      </c>
      <c r="L22" s="396"/>
      <c r="M22" s="397"/>
      <c r="N22" s="1"/>
    </row>
    <row r="23" spans="1:14" hidden="1">
      <c r="A23" s="318"/>
      <c r="B23" s="175"/>
      <c r="C23" s="175"/>
      <c r="D23" s="319"/>
      <c r="E23" s="319"/>
      <c r="F23" s="227"/>
      <c r="G23" s="374">
        <f t="shared" si="7"/>
        <v>0</v>
      </c>
      <c r="H23" s="374">
        <f>F23*G23</f>
        <v>0</v>
      </c>
      <c r="I23" s="175"/>
      <c r="J23" s="375" t="str">
        <f t="shared" si="4"/>
        <v>0</v>
      </c>
      <c r="K23" s="375" t="str">
        <f>IFERROR(L23/D23, "0")</f>
        <v>0</v>
      </c>
      <c r="L23" s="376"/>
      <c r="M23" s="347"/>
      <c r="N23" s="1"/>
    </row>
    <row r="24" spans="1:14" hidden="1">
      <c r="A24" s="318"/>
      <c r="B24" s="175"/>
      <c r="C24" s="175"/>
      <c r="D24" s="319"/>
      <c r="E24" s="319"/>
      <c r="F24" s="227"/>
      <c r="G24" s="374">
        <f t="shared" si="7"/>
        <v>0</v>
      </c>
      <c r="H24" s="374">
        <f t="shared" si="3"/>
        <v>0</v>
      </c>
      <c r="I24" s="175"/>
      <c r="J24" s="375" t="str">
        <f t="shared" si="4"/>
        <v>0</v>
      </c>
      <c r="K24" s="375" t="str">
        <f t="shared" si="5"/>
        <v>0</v>
      </c>
      <c r="L24" s="376"/>
      <c r="M24" s="347"/>
      <c r="N24" s="1"/>
    </row>
    <row r="25" spans="1:14" hidden="1">
      <c r="A25" s="318"/>
      <c r="B25" s="175"/>
      <c r="C25" s="175"/>
      <c r="D25" s="319"/>
      <c r="E25" s="319"/>
      <c r="F25" s="227"/>
      <c r="G25" s="374">
        <f t="shared" si="7"/>
        <v>0</v>
      </c>
      <c r="H25" s="374">
        <f t="shared" si="3"/>
        <v>0</v>
      </c>
      <c r="I25" s="175"/>
      <c r="J25" s="375" t="str">
        <f t="shared" si="4"/>
        <v>0</v>
      </c>
      <c r="K25" s="375" t="str">
        <f t="shared" si="5"/>
        <v>0</v>
      </c>
      <c r="L25" s="376"/>
      <c r="M25" s="347"/>
      <c r="N25" s="1"/>
    </row>
    <row r="26" spans="1:14" hidden="1">
      <c r="A26" s="318"/>
      <c r="B26" s="175"/>
      <c r="C26" s="175"/>
      <c r="D26" s="319"/>
      <c r="E26" s="319"/>
      <c r="F26" s="227"/>
      <c r="G26" s="374">
        <f t="shared" si="7"/>
        <v>0</v>
      </c>
      <c r="H26" s="374">
        <f t="shared" si="3"/>
        <v>0</v>
      </c>
      <c r="I26" s="175"/>
      <c r="J26" s="375" t="str">
        <f t="shared" si="4"/>
        <v>0</v>
      </c>
      <c r="K26" s="375" t="str">
        <f t="shared" si="5"/>
        <v>0</v>
      </c>
      <c r="L26" s="376"/>
      <c r="M26" s="347"/>
      <c r="N26" s="1"/>
    </row>
    <row r="27" spans="1:14" hidden="1">
      <c r="A27" s="318"/>
      <c r="B27" s="175"/>
      <c r="C27" s="175"/>
      <c r="D27" s="319"/>
      <c r="E27" s="319"/>
      <c r="F27" s="227"/>
      <c r="G27" s="374">
        <f t="shared" si="7"/>
        <v>0</v>
      </c>
      <c r="H27" s="374">
        <f t="shared" si="3"/>
        <v>0</v>
      </c>
      <c r="I27" s="175"/>
      <c r="J27" s="375" t="str">
        <f t="shared" si="4"/>
        <v>0</v>
      </c>
      <c r="K27" s="375" t="str">
        <f t="shared" si="5"/>
        <v>0</v>
      </c>
      <c r="L27" s="376"/>
      <c r="M27" s="347"/>
      <c r="N27" s="1"/>
    </row>
    <row r="28" spans="1:14" hidden="1">
      <c r="A28" s="318"/>
      <c r="B28" s="175"/>
      <c r="C28" s="175"/>
      <c r="D28" s="319"/>
      <c r="E28" s="319"/>
      <c r="F28" s="227"/>
      <c r="G28" s="374">
        <f t="shared" si="7"/>
        <v>0</v>
      </c>
      <c r="H28" s="374">
        <f t="shared" si="3"/>
        <v>0</v>
      </c>
      <c r="I28" s="175"/>
      <c r="J28" s="375" t="str">
        <f t="shared" si="4"/>
        <v>0</v>
      </c>
      <c r="K28" s="375" t="str">
        <f t="shared" si="5"/>
        <v>0</v>
      </c>
      <c r="L28" s="376"/>
      <c r="M28" s="347"/>
      <c r="N28" s="1"/>
    </row>
    <row r="29" spans="1:14" hidden="1">
      <c r="A29" s="318"/>
      <c r="B29" s="175"/>
      <c r="C29" s="175"/>
      <c r="D29" s="319"/>
      <c r="E29" s="319"/>
      <c r="F29" s="227"/>
      <c r="G29" s="374">
        <f t="shared" si="7"/>
        <v>0</v>
      </c>
      <c r="H29" s="374">
        <f t="shared" si="3"/>
        <v>0</v>
      </c>
      <c r="I29" s="175"/>
      <c r="J29" s="375" t="str">
        <f t="shared" si="4"/>
        <v>0</v>
      </c>
      <c r="K29" s="375" t="str">
        <f t="shared" si="5"/>
        <v>0</v>
      </c>
      <c r="L29" s="376"/>
      <c r="M29" s="347"/>
      <c r="N29" s="1"/>
    </row>
    <row r="30" spans="1:14" hidden="1">
      <c r="A30" s="318"/>
      <c r="B30" s="175"/>
      <c r="C30" s="175"/>
      <c r="D30" s="319"/>
      <c r="E30" s="319"/>
      <c r="F30" s="227"/>
      <c r="G30" s="374">
        <f t="shared" si="7"/>
        <v>0</v>
      </c>
      <c r="H30" s="374">
        <f t="shared" si="3"/>
        <v>0</v>
      </c>
      <c r="I30" s="175"/>
      <c r="J30" s="375" t="str">
        <f t="shared" si="4"/>
        <v>0</v>
      </c>
      <c r="K30" s="375" t="str">
        <f t="shared" si="5"/>
        <v>0</v>
      </c>
      <c r="L30" s="376"/>
      <c r="M30" s="347"/>
      <c r="N30" s="1"/>
    </row>
    <row r="31" spans="1:14" hidden="1">
      <c r="A31" s="318"/>
      <c r="B31" s="175"/>
      <c r="C31" s="175"/>
      <c r="D31" s="319"/>
      <c r="E31" s="319"/>
      <c r="F31" s="227"/>
      <c r="G31" s="374">
        <f t="shared" si="7"/>
        <v>0</v>
      </c>
      <c r="H31" s="374">
        <f t="shared" si="3"/>
        <v>0</v>
      </c>
      <c r="I31" s="175"/>
      <c r="J31" s="375" t="str">
        <f t="shared" si="4"/>
        <v>0</v>
      </c>
      <c r="K31" s="375" t="str">
        <f t="shared" si="5"/>
        <v>0</v>
      </c>
      <c r="L31" s="376"/>
      <c r="M31" s="347"/>
      <c r="N31" s="1"/>
    </row>
    <row r="32" spans="1:14" hidden="1">
      <c r="A32" s="318"/>
      <c r="B32" s="175"/>
      <c r="C32" s="175"/>
      <c r="D32" s="319"/>
      <c r="E32" s="319"/>
      <c r="F32" s="227"/>
      <c r="G32" s="374">
        <f t="shared" si="2"/>
        <v>0</v>
      </c>
      <c r="H32" s="374">
        <f t="shared" si="3"/>
        <v>0</v>
      </c>
      <c r="I32" s="175"/>
      <c r="J32" s="375" t="str">
        <f t="shared" si="4"/>
        <v>0</v>
      </c>
      <c r="K32" s="375" t="str">
        <f t="shared" si="5"/>
        <v>0</v>
      </c>
      <c r="L32" s="376"/>
      <c r="M32" s="347"/>
      <c r="N32" s="1"/>
    </row>
    <row r="33" spans="1:14" hidden="1">
      <c r="A33" s="90"/>
      <c r="B33" s="175"/>
      <c r="C33" s="175"/>
      <c r="D33" s="226"/>
      <c r="E33" s="92"/>
      <c r="F33" s="99"/>
      <c r="G33" s="374">
        <f t="shared" si="2"/>
        <v>0</v>
      </c>
      <c r="H33" s="374">
        <f t="shared" si="3"/>
        <v>0</v>
      </c>
      <c r="I33" s="175"/>
      <c r="J33" s="375" t="str">
        <f t="shared" si="4"/>
        <v>0</v>
      </c>
      <c r="K33" s="375" t="str">
        <f t="shared" si="5"/>
        <v>0</v>
      </c>
      <c r="L33" s="378"/>
      <c r="M33" s="93"/>
      <c r="N33" s="1"/>
    </row>
    <row r="34" spans="1:14" hidden="1">
      <c r="A34" s="90"/>
      <c r="B34" s="175"/>
      <c r="C34" s="175"/>
      <c r="D34" s="226"/>
      <c r="E34" s="92"/>
      <c r="F34" s="99"/>
      <c r="G34" s="374">
        <f t="shared" si="2"/>
        <v>0</v>
      </c>
      <c r="H34" s="374">
        <f t="shared" si="3"/>
        <v>0</v>
      </c>
      <c r="I34" s="175"/>
      <c r="J34" s="375" t="str">
        <f t="shared" si="4"/>
        <v>0</v>
      </c>
      <c r="K34" s="375" t="str">
        <f t="shared" si="5"/>
        <v>0</v>
      </c>
      <c r="L34" s="378"/>
      <c r="M34" s="93"/>
      <c r="N34" s="1"/>
    </row>
    <row r="35" spans="1:14" hidden="1">
      <c r="A35" s="90"/>
      <c r="B35" s="175"/>
      <c r="C35" s="175"/>
      <c r="D35" s="226"/>
      <c r="E35" s="92"/>
      <c r="F35" s="99"/>
      <c r="G35" s="374">
        <f t="shared" si="2"/>
        <v>0</v>
      </c>
      <c r="H35" s="374">
        <f t="shared" si="3"/>
        <v>0</v>
      </c>
      <c r="I35" s="175"/>
      <c r="J35" s="375" t="str">
        <f t="shared" si="4"/>
        <v>0</v>
      </c>
      <c r="K35" s="375" t="str">
        <f t="shared" si="5"/>
        <v>0</v>
      </c>
      <c r="L35" s="378"/>
      <c r="M35" s="93"/>
      <c r="N35" s="1"/>
    </row>
    <row r="36" spans="1:14" hidden="1">
      <c r="A36" s="90"/>
      <c r="B36" s="175"/>
      <c r="C36" s="175"/>
      <c r="D36" s="226"/>
      <c r="E36" s="92"/>
      <c r="F36" s="99"/>
      <c r="G36" s="374">
        <f t="shared" si="2"/>
        <v>0</v>
      </c>
      <c r="H36" s="374">
        <f t="shared" si="3"/>
        <v>0</v>
      </c>
      <c r="I36" s="175"/>
      <c r="J36" s="375" t="str">
        <f t="shared" si="4"/>
        <v>0</v>
      </c>
      <c r="K36" s="375" t="str">
        <f t="shared" si="5"/>
        <v>0</v>
      </c>
      <c r="L36" s="378"/>
      <c r="M36" s="93"/>
      <c r="N36" s="1"/>
    </row>
    <row r="37" spans="1:14" hidden="1">
      <c r="A37" s="90"/>
      <c r="B37" s="175"/>
      <c r="C37" s="175"/>
      <c r="D37" s="226"/>
      <c r="E37" s="92"/>
      <c r="F37" s="99"/>
      <c r="G37" s="374">
        <f t="shared" si="2"/>
        <v>0</v>
      </c>
      <c r="H37" s="374">
        <f t="shared" si="3"/>
        <v>0</v>
      </c>
      <c r="I37" s="175"/>
      <c r="J37" s="375" t="str">
        <f t="shared" si="4"/>
        <v>0</v>
      </c>
      <c r="K37" s="375" t="str">
        <f t="shared" si="5"/>
        <v>0</v>
      </c>
      <c r="L37" s="378"/>
      <c r="M37" s="93"/>
      <c r="N37" s="1"/>
    </row>
    <row r="38" spans="1:14" hidden="1">
      <c r="A38" s="90"/>
      <c r="B38" s="175"/>
      <c r="C38" s="175"/>
      <c r="D38" s="226"/>
      <c r="E38" s="92"/>
      <c r="F38" s="99"/>
      <c r="G38" s="374">
        <f t="shared" si="2"/>
        <v>0</v>
      </c>
      <c r="H38" s="374">
        <f t="shared" si="3"/>
        <v>0</v>
      </c>
      <c r="I38" s="175"/>
      <c r="J38" s="375" t="str">
        <f t="shared" si="4"/>
        <v>0</v>
      </c>
      <c r="K38" s="375" t="str">
        <f t="shared" si="5"/>
        <v>0</v>
      </c>
      <c r="L38" s="378"/>
      <c r="M38" s="93"/>
      <c r="N38" s="1"/>
    </row>
    <row r="39" spans="1:14" hidden="1">
      <c r="A39" s="90"/>
      <c r="B39" s="175"/>
      <c r="C39" s="175"/>
      <c r="D39" s="226"/>
      <c r="E39" s="92"/>
      <c r="F39" s="99"/>
      <c r="G39" s="374">
        <f t="shared" si="2"/>
        <v>0</v>
      </c>
      <c r="H39" s="374">
        <f t="shared" si="3"/>
        <v>0</v>
      </c>
      <c r="I39" s="175"/>
      <c r="J39" s="375" t="str">
        <f t="shared" si="4"/>
        <v>0</v>
      </c>
      <c r="K39" s="375" t="str">
        <f t="shared" si="5"/>
        <v>0</v>
      </c>
      <c r="L39" s="378"/>
      <c r="M39" s="93"/>
      <c r="N39" s="1"/>
    </row>
    <row r="40" spans="1:14" hidden="1">
      <c r="A40" s="90"/>
      <c r="B40" s="175"/>
      <c r="C40" s="175"/>
      <c r="D40" s="226"/>
      <c r="E40" s="92"/>
      <c r="F40" s="99"/>
      <c r="G40" s="374">
        <f t="shared" si="2"/>
        <v>0</v>
      </c>
      <c r="H40" s="374">
        <f t="shared" si="3"/>
        <v>0</v>
      </c>
      <c r="I40" s="175"/>
      <c r="J40" s="375" t="str">
        <f t="shared" si="4"/>
        <v>0</v>
      </c>
      <c r="K40" s="375" t="str">
        <f t="shared" si="5"/>
        <v>0</v>
      </c>
      <c r="L40" s="378"/>
      <c r="M40" s="93"/>
      <c r="N40" s="1"/>
    </row>
    <row r="41" spans="1:14" hidden="1">
      <c r="A41" s="318"/>
      <c r="B41" s="175"/>
      <c r="C41" s="175"/>
      <c r="D41" s="226"/>
      <c r="E41" s="92"/>
      <c r="F41" s="99"/>
      <c r="G41" s="374">
        <f t="shared" si="2"/>
        <v>0</v>
      </c>
      <c r="H41" s="374">
        <f t="shared" si="3"/>
        <v>0</v>
      </c>
      <c r="I41" s="175"/>
      <c r="J41" s="375" t="str">
        <f t="shared" si="4"/>
        <v>0</v>
      </c>
      <c r="K41" s="375" t="str">
        <f t="shared" si="5"/>
        <v>0</v>
      </c>
      <c r="L41" s="378"/>
      <c r="M41" s="93"/>
      <c r="N41" s="1"/>
    </row>
    <row r="42" spans="1:14" hidden="1">
      <c r="A42" s="318"/>
      <c r="B42" s="175"/>
      <c r="C42" s="175"/>
      <c r="D42" s="226"/>
      <c r="E42" s="92"/>
      <c r="F42" s="99"/>
      <c r="G42" s="374">
        <f t="shared" si="0"/>
        <v>0</v>
      </c>
      <c r="H42" s="374">
        <f>F42*G42</f>
        <v>0</v>
      </c>
      <c r="I42" s="175"/>
      <c r="J42" s="375" t="str">
        <f t="shared" si="1"/>
        <v>0</v>
      </c>
      <c r="K42" s="375" t="str">
        <f t="shared" si="5"/>
        <v>0</v>
      </c>
      <c r="L42" s="378"/>
      <c r="M42" s="93"/>
      <c r="N42" s="1"/>
    </row>
    <row r="43" spans="1:14" hidden="1">
      <c r="A43" s="318"/>
      <c r="B43" s="175"/>
      <c r="C43" s="175"/>
      <c r="D43" s="226"/>
      <c r="E43" s="92"/>
      <c r="F43" s="99"/>
      <c r="G43" s="374">
        <f t="shared" ref="G43:G44" si="8">D43*E43</f>
        <v>0</v>
      </c>
      <c r="H43" s="374">
        <f t="shared" ref="H43:H44" si="9">F43*G43</f>
        <v>0</v>
      </c>
      <c r="I43" s="175"/>
      <c r="J43" s="375" t="str">
        <f t="shared" si="1"/>
        <v>0</v>
      </c>
      <c r="K43" s="375" t="str">
        <f t="shared" si="5"/>
        <v>0</v>
      </c>
      <c r="L43" s="378"/>
      <c r="M43" s="93"/>
      <c r="N43" s="1"/>
    </row>
    <row r="44" spans="1:14" hidden="1">
      <c r="A44" s="318"/>
      <c r="B44" s="175"/>
      <c r="C44" s="175"/>
      <c r="D44" s="226"/>
      <c r="E44" s="92"/>
      <c r="F44" s="99"/>
      <c r="G44" s="374">
        <f t="shared" si="8"/>
        <v>0</v>
      </c>
      <c r="H44" s="374">
        <f t="shared" si="9"/>
        <v>0</v>
      </c>
      <c r="I44" s="175"/>
      <c r="J44" s="375" t="str">
        <f t="shared" si="1"/>
        <v>0</v>
      </c>
      <c r="K44" s="375" t="str">
        <f t="shared" si="5"/>
        <v>0</v>
      </c>
      <c r="L44" s="378"/>
      <c r="M44" s="93"/>
      <c r="N44" s="1"/>
    </row>
    <row r="45" spans="1:14" hidden="1">
      <c r="A45" s="318"/>
      <c r="B45" s="175"/>
      <c r="C45" s="175"/>
      <c r="D45" s="226"/>
      <c r="E45" s="92"/>
      <c r="F45" s="99"/>
      <c r="G45" s="374">
        <f t="shared" ref="G45:G46" si="10">D45*E45</f>
        <v>0</v>
      </c>
      <c r="H45" s="374">
        <f t="shared" ref="H45:H46" si="11">F45*G45</f>
        <v>0</v>
      </c>
      <c r="I45" s="175"/>
      <c r="J45" s="375" t="str">
        <f t="shared" si="1"/>
        <v>0</v>
      </c>
      <c r="K45" s="375" t="str">
        <f t="shared" si="5"/>
        <v>0</v>
      </c>
      <c r="L45" s="378"/>
      <c r="M45" s="93"/>
      <c r="N45" s="1"/>
    </row>
    <row r="46" spans="1:14" hidden="1">
      <c r="A46" s="318"/>
      <c r="B46" s="175"/>
      <c r="C46" s="175"/>
      <c r="D46" s="226"/>
      <c r="E46" s="92"/>
      <c r="F46" s="99"/>
      <c r="G46" s="374">
        <f t="shared" si="10"/>
        <v>0</v>
      </c>
      <c r="H46" s="374">
        <f t="shared" si="11"/>
        <v>0</v>
      </c>
      <c r="I46" s="175"/>
      <c r="J46" s="375" t="str">
        <f t="shared" si="1"/>
        <v>0</v>
      </c>
      <c r="K46" s="375" t="str">
        <f t="shared" si="5"/>
        <v>0</v>
      </c>
      <c r="L46" s="378"/>
      <c r="M46" s="93"/>
      <c r="N46" s="1"/>
    </row>
    <row r="47" spans="1:14" hidden="1">
      <c r="A47" s="318"/>
      <c r="B47" s="175"/>
      <c r="C47" s="175"/>
      <c r="D47" s="226"/>
      <c r="E47" s="92"/>
      <c r="F47" s="99"/>
      <c r="G47" s="374">
        <f t="shared" si="0"/>
        <v>0</v>
      </c>
      <c r="H47" s="374">
        <f t="shared" ref="H47:H51" si="12">F47*G47</f>
        <v>0</v>
      </c>
      <c r="I47" s="175"/>
      <c r="J47" s="375" t="str">
        <f t="shared" si="1"/>
        <v>0</v>
      </c>
      <c r="K47" s="375" t="str">
        <f t="shared" si="5"/>
        <v>0</v>
      </c>
      <c r="L47" s="378"/>
      <c r="M47" s="93"/>
      <c r="N47" s="1"/>
    </row>
    <row r="48" spans="1:14" hidden="1">
      <c r="A48" s="318"/>
      <c r="B48" s="175"/>
      <c r="C48" s="175"/>
      <c r="D48" s="226"/>
      <c r="E48" s="92"/>
      <c r="F48" s="99"/>
      <c r="G48" s="374">
        <f t="shared" si="0"/>
        <v>0</v>
      </c>
      <c r="H48" s="374">
        <f t="shared" si="12"/>
        <v>0</v>
      </c>
      <c r="I48" s="175"/>
      <c r="J48" s="375" t="str">
        <f t="shared" si="1"/>
        <v>0</v>
      </c>
      <c r="K48" s="375" t="str">
        <f t="shared" si="5"/>
        <v>0</v>
      </c>
      <c r="L48" s="378"/>
      <c r="M48" s="93"/>
      <c r="N48" s="1"/>
    </row>
    <row r="49" spans="1:14" hidden="1">
      <c r="A49" s="318"/>
      <c r="B49" s="495"/>
      <c r="C49" s="495"/>
      <c r="D49" s="227"/>
      <c r="E49" s="94"/>
      <c r="F49" s="99"/>
      <c r="G49" s="379">
        <f>D49*E49</f>
        <v>0</v>
      </c>
      <c r="H49" s="379">
        <f>F49*G49</f>
        <v>0</v>
      </c>
      <c r="I49" s="175"/>
      <c r="J49" s="375" t="str">
        <f t="shared" si="1"/>
        <v>0</v>
      </c>
      <c r="K49" s="375" t="str">
        <f t="shared" si="5"/>
        <v>0</v>
      </c>
      <c r="L49" s="378"/>
      <c r="M49" s="496"/>
      <c r="N49" s="1"/>
    </row>
    <row r="50" spans="1:14" hidden="1">
      <c r="A50" s="318"/>
      <c r="B50" s="495"/>
      <c r="C50" s="495"/>
      <c r="D50" s="227"/>
      <c r="E50" s="94"/>
      <c r="F50" s="99"/>
      <c r="G50" s="379">
        <f t="shared" si="0"/>
        <v>0</v>
      </c>
      <c r="H50" s="379">
        <f t="shared" si="12"/>
        <v>0</v>
      </c>
      <c r="I50" s="175"/>
      <c r="J50" s="375" t="str">
        <f t="shared" si="1"/>
        <v>0</v>
      </c>
      <c r="K50" s="375" t="str">
        <f t="shared" si="5"/>
        <v>0</v>
      </c>
      <c r="L50" s="378"/>
      <c r="M50" s="496"/>
      <c r="N50" s="1"/>
    </row>
    <row r="51" spans="1:14" hidden="1">
      <c r="A51" s="361"/>
      <c r="B51" s="363"/>
      <c r="C51" s="363"/>
      <c r="D51" s="362"/>
      <c r="E51" s="352"/>
      <c r="F51" s="351"/>
      <c r="G51" s="380">
        <f t="shared" si="0"/>
        <v>0</v>
      </c>
      <c r="H51" s="380">
        <f t="shared" si="12"/>
        <v>0</v>
      </c>
      <c r="I51" s="363"/>
      <c r="J51" s="381" t="str">
        <f t="shared" si="1"/>
        <v>0</v>
      </c>
      <c r="K51" s="381" t="str">
        <f t="shared" si="5"/>
        <v>0</v>
      </c>
      <c r="L51" s="382"/>
      <c r="M51" s="383"/>
      <c r="N51" s="1"/>
    </row>
    <row r="52" spans="1:14">
      <c r="A52" s="364" t="s">
        <v>103</v>
      </c>
      <c r="B52" s="365"/>
      <c r="C52" s="365"/>
      <c r="D52" s="366">
        <f>SUM(D12:D51)</f>
        <v>0</v>
      </c>
      <c r="E52" s="367"/>
      <c r="F52" s="368"/>
      <c r="G52" s="369">
        <f>SUM(G12:G51)</f>
        <v>0</v>
      </c>
      <c r="H52" s="369">
        <f>SUM(H12:H51)</f>
        <v>0</v>
      </c>
      <c r="I52" s="370"/>
      <c r="J52" s="371" t="str">
        <f>IFERROR(AVERAGE(J12:J51),"0")</f>
        <v>0</v>
      </c>
      <c r="K52" s="371" t="str">
        <f>IFERROR(AVERAGE(K12:K51),"0")</f>
        <v>0</v>
      </c>
      <c r="L52" s="372">
        <f>SUM(L12:L51)</f>
        <v>0</v>
      </c>
      <c r="M52" s="373"/>
      <c r="N52" s="1"/>
    </row>
    <row r="53" spans="1:14">
      <c r="A53" s="72"/>
      <c r="B53" s="73"/>
      <c r="C53" s="45"/>
      <c r="D53" s="45"/>
      <c r="E53" s="45"/>
      <c r="F53" s="45"/>
      <c r="G53" s="45"/>
      <c r="H53" s="45"/>
      <c r="I53" s="45"/>
      <c r="J53" s="601"/>
      <c r="K53" s="601"/>
      <c r="L53" s="66"/>
      <c r="M53" s="45"/>
      <c r="N53" s="1"/>
    </row>
    <row r="54" spans="1:14">
      <c r="A54" s="74" t="s">
        <v>104</v>
      </c>
      <c r="B54" s="107">
        <f>L52</f>
        <v>0</v>
      </c>
      <c r="C54" s="75"/>
      <c r="D54" s="45"/>
      <c r="E54" s="45"/>
      <c r="F54" s="45"/>
      <c r="G54" s="45"/>
      <c r="H54" s="45"/>
      <c r="I54" s="45"/>
      <c r="J54" s="65"/>
      <c r="K54" s="65"/>
      <c r="L54" s="66"/>
      <c r="M54" s="45"/>
      <c r="N54" s="1"/>
    </row>
    <row r="55" spans="1:14">
      <c r="A55" s="76" t="str" cm="1">
        <f t="array" ref="A55">IFERROR(_xlfn.IFS('Current Equipment (Replacing)'!C12="8.5x11 Pages","CurrentCost/Page",'Current Equipment (Replacing)'!C12="Pieces","Current Cost/Piece"),"FILL IN UNITS ON CURRENT EQ TAB")</f>
        <v>CurrentCost/Page</v>
      </c>
      <c r="B55" s="80" t="str" cm="1">
        <f t="array" ref="B55">IFERROR(_xlfn.IFS('Current Equipment (Replacing)'!C12="8.5x11 Pages",L52/H52,'Current Equipment (Replacing)'!C12="Pieces",L52/D52),"-")</f>
        <v>-</v>
      </c>
      <c r="C55" s="45"/>
      <c r="D55" s="45"/>
      <c r="E55" s="45"/>
      <c r="F55" s="45"/>
      <c r="G55" s="45"/>
      <c r="H55" s="45"/>
      <c r="I55" s="45"/>
      <c r="J55" s="65"/>
      <c r="K55" s="65"/>
      <c r="L55" s="66"/>
      <c r="M55" s="45"/>
      <c r="N55" s="1"/>
    </row>
    <row r="56" spans="1:14">
      <c r="A56" s="45"/>
      <c r="B56" s="45"/>
      <c r="C56" s="45"/>
      <c r="D56" s="45"/>
      <c r="E56" s="45"/>
      <c r="F56" s="45"/>
      <c r="G56" s="45"/>
      <c r="H56" s="45"/>
      <c r="I56" s="45"/>
      <c r="J56" s="65"/>
      <c r="K56" s="65"/>
      <c r="L56" s="66"/>
      <c r="M56" s="45"/>
      <c r="N56" s="1"/>
    </row>
    <row r="57" spans="1:14" ht="18">
      <c r="A57" s="585" t="s">
        <v>105</v>
      </c>
      <c r="B57" s="586"/>
      <c r="C57" s="586"/>
      <c r="D57" s="586"/>
      <c r="E57" s="586"/>
      <c r="F57" s="586"/>
      <c r="G57" s="586"/>
      <c r="H57" s="586"/>
      <c r="I57" s="586"/>
      <c r="J57" s="586"/>
      <c r="K57" s="586"/>
      <c r="L57" s="586"/>
      <c r="M57" s="587"/>
      <c r="N57" s="1"/>
    </row>
    <row r="58" spans="1:14" ht="43.5">
      <c r="A58" s="40" t="s">
        <v>91</v>
      </c>
      <c r="B58" s="61" t="s">
        <v>92</v>
      </c>
      <c r="C58" s="61" t="s">
        <v>93</v>
      </c>
      <c r="D58" s="69" t="s">
        <v>94</v>
      </c>
      <c r="E58" s="46" t="s">
        <v>95</v>
      </c>
      <c r="F58" s="402" t="str" cm="1">
        <f t="array" ref="F58">IFERROR(_xlfn.IFS('Current Equipment (Replacing)'!C12="8.5x11 Pages","8.5x11 PAGES PER IMPRESSION",'Current Equipment (Replacing)'!C12="N/A","Specified Speed (Pieces/M)"),"FILL CURRENT EQUIPMENT UNITS")</f>
        <v>8.5x11 PAGES PER IMPRESSION</v>
      </c>
      <c r="G58" s="46" t="s">
        <v>96</v>
      </c>
      <c r="H58" s="46" t="s">
        <v>97</v>
      </c>
      <c r="I58" s="46" t="s">
        <v>98</v>
      </c>
      <c r="J58" s="70" t="s">
        <v>99</v>
      </c>
      <c r="K58" s="70" t="s">
        <v>100</v>
      </c>
      <c r="L58" s="71" t="s">
        <v>101</v>
      </c>
      <c r="M58" s="47" t="s">
        <v>102</v>
      </c>
      <c r="N58" s="1"/>
    </row>
    <row r="59" spans="1:14">
      <c r="A59" s="406"/>
      <c r="B59" s="338"/>
      <c r="C59" s="339"/>
      <c r="D59" s="408"/>
      <c r="E59" s="438"/>
      <c r="F59" s="341"/>
      <c r="G59" s="342">
        <f t="shared" ref="G59" si="13">D59*E59</f>
        <v>0</v>
      </c>
      <c r="H59" s="343">
        <f>F59*G59</f>
        <v>0</v>
      </c>
      <c r="I59" s="344"/>
      <c r="J59" s="345" t="str">
        <f>IFERROR(L59/H59, "0")</f>
        <v>0</v>
      </c>
      <c r="K59" s="345" t="str">
        <f>IFERROR(L59/D59, "0")</f>
        <v>0</v>
      </c>
      <c r="L59" s="320"/>
      <c r="M59" s="346"/>
      <c r="N59" s="1"/>
    </row>
    <row r="60" spans="1:14">
      <c r="A60" s="318"/>
      <c r="B60" s="87"/>
      <c r="C60" s="494"/>
      <c r="D60" s="319"/>
      <c r="E60" s="319"/>
      <c r="F60" s="228"/>
      <c r="G60" s="81">
        <f t="shared" ref="G60:G65" si="14">D60*E60</f>
        <v>0</v>
      </c>
      <c r="H60" s="82">
        <f t="shared" ref="H60:H65" si="15">F60*G60</f>
        <v>0</v>
      </c>
      <c r="I60" s="77"/>
      <c r="J60" s="178" t="str">
        <f t="shared" ref="J60:J89" si="16">IFERROR(L60/H60, "0")</f>
        <v>0</v>
      </c>
      <c r="K60" s="178" t="str">
        <f>IFERROR(L60/D60, "0")</f>
        <v>0</v>
      </c>
      <c r="L60" s="321"/>
      <c r="M60" s="347"/>
      <c r="N60" s="1"/>
    </row>
    <row r="61" spans="1:14">
      <c r="A61" s="318"/>
      <c r="B61" s="87"/>
      <c r="C61" s="494"/>
      <c r="D61" s="319"/>
      <c r="E61" s="319"/>
      <c r="F61" s="228"/>
      <c r="G61" s="81">
        <f t="shared" si="14"/>
        <v>0</v>
      </c>
      <c r="H61" s="82">
        <f t="shared" si="15"/>
        <v>0</v>
      </c>
      <c r="I61" s="77"/>
      <c r="J61" s="178" t="str">
        <f t="shared" si="16"/>
        <v>0</v>
      </c>
      <c r="K61" s="178" t="str">
        <f t="shared" ref="K61:K97" si="17">IFERROR(L61/D61, "0")</f>
        <v>0</v>
      </c>
      <c r="L61" s="321"/>
      <c r="M61" s="347"/>
      <c r="N61" s="1"/>
    </row>
    <row r="62" spans="1:14">
      <c r="A62" s="318"/>
      <c r="B62" s="87"/>
      <c r="C62" s="494"/>
      <c r="D62" s="319"/>
      <c r="E62" s="319"/>
      <c r="F62" s="228"/>
      <c r="G62" s="81">
        <f t="shared" si="14"/>
        <v>0</v>
      </c>
      <c r="H62" s="82">
        <f t="shared" si="15"/>
        <v>0</v>
      </c>
      <c r="I62" s="77"/>
      <c r="J62" s="178" t="str">
        <f t="shared" si="16"/>
        <v>0</v>
      </c>
      <c r="K62" s="178" t="str">
        <f t="shared" si="17"/>
        <v>0</v>
      </c>
      <c r="L62" s="321"/>
      <c r="M62" s="347"/>
      <c r="N62" s="1"/>
    </row>
    <row r="63" spans="1:14">
      <c r="A63" s="318"/>
      <c r="B63" s="87"/>
      <c r="C63" s="494"/>
      <c r="D63" s="319"/>
      <c r="E63" s="319"/>
      <c r="F63" s="228"/>
      <c r="G63" s="81">
        <f t="shared" si="14"/>
        <v>0</v>
      </c>
      <c r="H63" s="82">
        <f t="shared" si="15"/>
        <v>0</v>
      </c>
      <c r="I63" s="77"/>
      <c r="J63" s="178" t="str">
        <f t="shared" si="16"/>
        <v>0</v>
      </c>
      <c r="K63" s="178" t="str">
        <f t="shared" si="17"/>
        <v>0</v>
      </c>
      <c r="L63" s="321"/>
      <c r="M63" s="347"/>
      <c r="N63" s="1"/>
    </row>
    <row r="64" spans="1:14">
      <c r="A64" s="318"/>
      <c r="B64" s="87"/>
      <c r="C64" s="494"/>
      <c r="D64" s="319"/>
      <c r="E64" s="319"/>
      <c r="F64" s="228"/>
      <c r="G64" s="81">
        <f t="shared" si="14"/>
        <v>0</v>
      </c>
      <c r="H64" s="82">
        <f t="shared" si="15"/>
        <v>0</v>
      </c>
      <c r="I64" s="77"/>
      <c r="J64" s="178" t="str">
        <f t="shared" si="16"/>
        <v>0</v>
      </c>
      <c r="K64" s="178" t="str">
        <f t="shared" si="17"/>
        <v>0</v>
      </c>
      <c r="L64" s="321"/>
      <c r="M64" s="347"/>
      <c r="N64" s="1"/>
    </row>
    <row r="65" spans="1:14">
      <c r="A65" s="318"/>
      <c r="B65" s="87"/>
      <c r="C65" s="494"/>
      <c r="D65" s="319"/>
      <c r="E65" s="319"/>
      <c r="F65" s="228"/>
      <c r="G65" s="81">
        <f t="shared" si="14"/>
        <v>0</v>
      </c>
      <c r="H65" s="82">
        <f t="shared" si="15"/>
        <v>0</v>
      </c>
      <c r="I65" s="77"/>
      <c r="J65" s="178" t="str">
        <f t="shared" si="16"/>
        <v>0</v>
      </c>
      <c r="K65" s="178" t="str">
        <f t="shared" si="17"/>
        <v>0</v>
      </c>
      <c r="L65" s="321"/>
      <c r="M65" s="347"/>
      <c r="N65" s="1"/>
    </row>
    <row r="66" spans="1:14">
      <c r="A66" s="318"/>
      <c r="B66" s="87"/>
      <c r="C66" s="494"/>
      <c r="D66" s="319"/>
      <c r="E66" s="319"/>
      <c r="F66" s="228"/>
      <c r="G66" s="81">
        <f t="shared" ref="G66:G89" si="18">D66*E66</f>
        <v>0</v>
      </c>
      <c r="H66" s="82">
        <f t="shared" ref="H66:H89" si="19">F66*G66</f>
        <v>0</v>
      </c>
      <c r="I66" s="77"/>
      <c r="J66" s="178" t="str">
        <f t="shared" si="16"/>
        <v>0</v>
      </c>
      <c r="K66" s="178" t="str">
        <f t="shared" si="17"/>
        <v>0</v>
      </c>
      <c r="L66" s="321"/>
      <c r="M66" s="347"/>
      <c r="N66" s="1"/>
    </row>
    <row r="67" spans="1:14">
      <c r="A67" s="318"/>
      <c r="B67" s="87"/>
      <c r="C67" s="494"/>
      <c r="D67" s="319"/>
      <c r="E67" s="319"/>
      <c r="F67" s="228"/>
      <c r="G67" s="81">
        <f t="shared" si="18"/>
        <v>0</v>
      </c>
      <c r="H67" s="82">
        <f t="shared" si="19"/>
        <v>0</v>
      </c>
      <c r="I67" s="77"/>
      <c r="J67" s="178" t="str">
        <f t="shared" si="16"/>
        <v>0</v>
      </c>
      <c r="K67" s="178" t="str">
        <f t="shared" si="17"/>
        <v>0</v>
      </c>
      <c r="L67" s="321"/>
      <c r="M67" s="347"/>
      <c r="N67" s="1"/>
    </row>
    <row r="68" spans="1:14" ht="15.75" thickBot="1">
      <c r="A68" s="318"/>
      <c r="B68" s="87"/>
      <c r="C68" s="494"/>
      <c r="D68" s="319"/>
      <c r="E68" s="319"/>
      <c r="F68" s="228"/>
      <c r="G68" s="81">
        <f t="shared" si="18"/>
        <v>0</v>
      </c>
      <c r="H68" s="82">
        <f t="shared" si="19"/>
        <v>0</v>
      </c>
      <c r="I68" s="77"/>
      <c r="J68" s="178" t="str">
        <f t="shared" si="16"/>
        <v>0</v>
      </c>
      <c r="K68" s="178" t="str">
        <f t="shared" si="17"/>
        <v>0</v>
      </c>
      <c r="L68" s="321"/>
      <c r="M68" s="347"/>
      <c r="N68" s="1"/>
    </row>
    <row r="69" spans="1:14" hidden="1">
      <c r="A69" s="318"/>
      <c r="B69" s="87"/>
      <c r="C69" s="494"/>
      <c r="D69" s="319"/>
      <c r="E69" s="319"/>
      <c r="F69" s="228"/>
      <c r="G69" s="81">
        <f t="shared" si="18"/>
        <v>0</v>
      </c>
      <c r="H69" s="82">
        <f t="shared" si="19"/>
        <v>0</v>
      </c>
      <c r="I69" s="77"/>
      <c r="J69" s="178" t="str">
        <f t="shared" si="16"/>
        <v>0</v>
      </c>
      <c r="K69" s="178" t="str">
        <f t="shared" si="17"/>
        <v>0</v>
      </c>
      <c r="L69" s="321"/>
      <c r="M69" s="347"/>
      <c r="N69" s="1"/>
    </row>
    <row r="70" spans="1:14" hidden="1">
      <c r="A70" s="318"/>
      <c r="B70" s="87"/>
      <c r="C70" s="494"/>
      <c r="D70" s="319"/>
      <c r="E70" s="319"/>
      <c r="F70" s="228"/>
      <c r="G70" s="81">
        <f t="shared" si="18"/>
        <v>0</v>
      </c>
      <c r="H70" s="82">
        <f t="shared" si="19"/>
        <v>0</v>
      </c>
      <c r="I70" s="77"/>
      <c r="J70" s="178" t="str">
        <f t="shared" si="16"/>
        <v>0</v>
      </c>
      <c r="K70" s="178" t="str">
        <f t="shared" si="17"/>
        <v>0</v>
      </c>
      <c r="L70" s="321"/>
      <c r="M70" s="347"/>
      <c r="N70" s="1"/>
    </row>
    <row r="71" spans="1:14" hidden="1">
      <c r="A71" s="318"/>
      <c r="B71" s="87"/>
      <c r="C71" s="494"/>
      <c r="D71" s="319"/>
      <c r="E71" s="319"/>
      <c r="F71" s="228"/>
      <c r="G71" s="81">
        <f t="shared" si="18"/>
        <v>0</v>
      </c>
      <c r="H71" s="82">
        <f t="shared" si="19"/>
        <v>0</v>
      </c>
      <c r="I71" s="77"/>
      <c r="J71" s="178" t="str">
        <f t="shared" si="16"/>
        <v>0</v>
      </c>
      <c r="K71" s="178" t="str">
        <f t="shared" si="17"/>
        <v>0</v>
      </c>
      <c r="L71" s="321"/>
      <c r="M71" s="347"/>
      <c r="N71" s="1"/>
    </row>
    <row r="72" spans="1:14" hidden="1">
      <c r="A72" s="318"/>
      <c r="B72" s="87"/>
      <c r="C72" s="494"/>
      <c r="D72" s="319"/>
      <c r="E72" s="319"/>
      <c r="F72" s="228"/>
      <c r="G72" s="81">
        <f t="shared" si="18"/>
        <v>0</v>
      </c>
      <c r="H72" s="82">
        <f t="shared" si="19"/>
        <v>0</v>
      </c>
      <c r="I72" s="77"/>
      <c r="J72" s="178" t="str">
        <f t="shared" si="16"/>
        <v>0</v>
      </c>
      <c r="K72" s="178" t="str">
        <f t="shared" si="17"/>
        <v>0</v>
      </c>
      <c r="L72" s="321"/>
      <c r="M72" s="347"/>
      <c r="N72" s="1"/>
    </row>
    <row r="73" spans="1:14" hidden="1">
      <c r="A73" s="318"/>
      <c r="B73" s="87"/>
      <c r="C73" s="494"/>
      <c r="D73" s="319"/>
      <c r="E73" s="319"/>
      <c r="F73" s="228"/>
      <c r="G73" s="81">
        <f t="shared" si="18"/>
        <v>0</v>
      </c>
      <c r="H73" s="82">
        <f t="shared" si="19"/>
        <v>0</v>
      </c>
      <c r="I73" s="77"/>
      <c r="J73" s="178" t="str">
        <f t="shared" si="16"/>
        <v>0</v>
      </c>
      <c r="K73" s="178" t="str">
        <f t="shared" si="17"/>
        <v>0</v>
      </c>
      <c r="L73" s="321"/>
      <c r="M73" s="347"/>
      <c r="N73" s="1"/>
    </row>
    <row r="74" spans="1:14" hidden="1">
      <c r="A74" s="318"/>
      <c r="B74" s="87"/>
      <c r="C74" s="494"/>
      <c r="D74" s="319"/>
      <c r="E74" s="319"/>
      <c r="F74" s="228"/>
      <c r="G74" s="81">
        <f t="shared" si="18"/>
        <v>0</v>
      </c>
      <c r="H74" s="82">
        <f t="shared" si="19"/>
        <v>0</v>
      </c>
      <c r="I74" s="77"/>
      <c r="J74" s="178" t="str">
        <f t="shared" si="16"/>
        <v>0</v>
      </c>
      <c r="K74" s="178" t="str">
        <f t="shared" si="17"/>
        <v>0</v>
      </c>
      <c r="L74" s="321"/>
      <c r="M74" s="347"/>
      <c r="N74" s="1"/>
    </row>
    <row r="75" spans="1:14" hidden="1">
      <c r="A75" s="318"/>
      <c r="B75" s="87"/>
      <c r="C75" s="494"/>
      <c r="D75" s="319"/>
      <c r="E75" s="319"/>
      <c r="F75" s="228"/>
      <c r="G75" s="81">
        <f t="shared" si="18"/>
        <v>0</v>
      </c>
      <c r="H75" s="82">
        <f t="shared" si="19"/>
        <v>0</v>
      </c>
      <c r="I75" s="77"/>
      <c r="J75" s="178" t="str">
        <f t="shared" si="16"/>
        <v>0</v>
      </c>
      <c r="K75" s="178" t="str">
        <f t="shared" si="17"/>
        <v>0</v>
      </c>
      <c r="L75" s="321"/>
      <c r="M75" s="347"/>
      <c r="N75" s="1"/>
    </row>
    <row r="76" spans="1:14" hidden="1">
      <c r="A76" s="318"/>
      <c r="B76" s="87"/>
      <c r="C76" s="494"/>
      <c r="D76" s="319"/>
      <c r="E76" s="319"/>
      <c r="F76" s="228"/>
      <c r="G76" s="81">
        <f t="shared" si="18"/>
        <v>0</v>
      </c>
      <c r="H76" s="82">
        <f t="shared" si="19"/>
        <v>0</v>
      </c>
      <c r="I76" s="77"/>
      <c r="J76" s="178" t="str">
        <f t="shared" si="16"/>
        <v>0</v>
      </c>
      <c r="K76" s="178" t="str">
        <f t="shared" si="17"/>
        <v>0</v>
      </c>
      <c r="L76" s="321"/>
      <c r="M76" s="347"/>
      <c r="N76" s="1"/>
    </row>
    <row r="77" spans="1:14" hidden="1">
      <c r="A77" s="318"/>
      <c r="B77" s="87"/>
      <c r="C77" s="494"/>
      <c r="D77" s="319"/>
      <c r="E77" s="319"/>
      <c r="F77" s="228"/>
      <c r="G77" s="81">
        <f t="shared" si="18"/>
        <v>0</v>
      </c>
      <c r="H77" s="82">
        <f t="shared" si="19"/>
        <v>0</v>
      </c>
      <c r="I77" s="77"/>
      <c r="J77" s="178" t="str">
        <f t="shared" si="16"/>
        <v>0</v>
      </c>
      <c r="K77" s="178" t="str">
        <f t="shared" si="17"/>
        <v>0</v>
      </c>
      <c r="L77" s="321"/>
      <c r="M77" s="347"/>
      <c r="N77" s="1"/>
    </row>
    <row r="78" spans="1:14" hidden="1">
      <c r="A78" s="318"/>
      <c r="B78" s="87"/>
      <c r="C78" s="494"/>
      <c r="D78" s="319"/>
      <c r="E78" s="319"/>
      <c r="F78" s="228"/>
      <c r="G78" s="81">
        <f t="shared" si="18"/>
        <v>0</v>
      </c>
      <c r="H78" s="82">
        <f t="shared" si="19"/>
        <v>0</v>
      </c>
      <c r="I78" s="77"/>
      <c r="J78" s="178" t="str">
        <f t="shared" si="16"/>
        <v>0</v>
      </c>
      <c r="K78" s="178" t="str">
        <f t="shared" si="17"/>
        <v>0</v>
      </c>
      <c r="L78" s="321"/>
      <c r="M78" s="347"/>
      <c r="N78" s="1"/>
    </row>
    <row r="79" spans="1:14" hidden="1">
      <c r="A79" s="318"/>
      <c r="B79" s="87"/>
      <c r="C79" s="494"/>
      <c r="D79" s="319"/>
      <c r="E79" s="319"/>
      <c r="F79" s="228"/>
      <c r="G79" s="81">
        <f t="shared" si="18"/>
        <v>0</v>
      </c>
      <c r="H79" s="82">
        <f t="shared" si="19"/>
        <v>0</v>
      </c>
      <c r="I79" s="77"/>
      <c r="J79" s="178" t="str">
        <f t="shared" si="16"/>
        <v>0</v>
      </c>
      <c r="K79" s="178" t="str">
        <f t="shared" si="17"/>
        <v>0</v>
      </c>
      <c r="L79" s="322"/>
      <c r="M79" s="377"/>
      <c r="N79" s="1"/>
    </row>
    <row r="80" spans="1:14" hidden="1">
      <c r="A80" s="86"/>
      <c r="B80" s="87"/>
      <c r="C80" s="494"/>
      <c r="D80" s="89"/>
      <c r="E80" s="88"/>
      <c r="F80" s="89"/>
      <c r="G80" s="81">
        <f t="shared" si="18"/>
        <v>0</v>
      </c>
      <c r="H80" s="82">
        <f t="shared" si="19"/>
        <v>0</v>
      </c>
      <c r="I80" s="77"/>
      <c r="J80" s="178" t="str">
        <f t="shared" si="16"/>
        <v>0</v>
      </c>
      <c r="K80" s="178" t="str">
        <f t="shared" si="17"/>
        <v>0</v>
      </c>
      <c r="L80" s="182"/>
      <c r="M80" s="495"/>
      <c r="N80" s="1"/>
    </row>
    <row r="81" spans="1:14" hidden="1">
      <c r="A81" s="86"/>
      <c r="B81" s="87"/>
      <c r="C81" s="494"/>
      <c r="D81" s="89"/>
      <c r="E81" s="88"/>
      <c r="F81" s="89"/>
      <c r="G81" s="81">
        <f t="shared" si="18"/>
        <v>0</v>
      </c>
      <c r="H81" s="82">
        <f t="shared" si="19"/>
        <v>0</v>
      </c>
      <c r="I81" s="77"/>
      <c r="J81" s="178" t="str">
        <f t="shared" si="16"/>
        <v>0</v>
      </c>
      <c r="K81" s="178" t="str">
        <f t="shared" si="17"/>
        <v>0</v>
      </c>
      <c r="L81" s="182"/>
      <c r="M81" s="95"/>
      <c r="N81" s="1"/>
    </row>
    <row r="82" spans="1:14" hidden="1">
      <c r="A82" s="86"/>
      <c r="B82" s="87"/>
      <c r="C82" s="494"/>
      <c r="D82" s="89"/>
      <c r="E82" s="88"/>
      <c r="F82" s="89"/>
      <c r="G82" s="81">
        <f t="shared" si="18"/>
        <v>0</v>
      </c>
      <c r="H82" s="82">
        <f t="shared" si="19"/>
        <v>0</v>
      </c>
      <c r="I82" s="77"/>
      <c r="J82" s="178" t="str">
        <f t="shared" si="16"/>
        <v>0</v>
      </c>
      <c r="K82" s="178" t="str">
        <f t="shared" si="17"/>
        <v>0</v>
      </c>
      <c r="L82" s="182"/>
      <c r="M82" s="95"/>
      <c r="N82" s="1"/>
    </row>
    <row r="83" spans="1:14" hidden="1">
      <c r="A83" s="86"/>
      <c r="B83" s="87"/>
      <c r="C83" s="494"/>
      <c r="D83" s="89"/>
      <c r="E83" s="88"/>
      <c r="F83" s="89"/>
      <c r="G83" s="81">
        <f t="shared" si="18"/>
        <v>0</v>
      </c>
      <c r="H83" s="82">
        <f t="shared" si="19"/>
        <v>0</v>
      </c>
      <c r="I83" s="77"/>
      <c r="J83" s="178" t="str">
        <f t="shared" si="16"/>
        <v>0</v>
      </c>
      <c r="K83" s="178" t="str">
        <f t="shared" si="17"/>
        <v>0</v>
      </c>
      <c r="L83" s="182"/>
      <c r="M83" s="95"/>
      <c r="N83" s="1"/>
    </row>
    <row r="84" spans="1:14" hidden="1">
      <c r="A84" s="86"/>
      <c r="B84" s="87"/>
      <c r="C84" s="494"/>
      <c r="D84" s="89"/>
      <c r="E84" s="88"/>
      <c r="F84" s="89"/>
      <c r="G84" s="81">
        <f t="shared" si="18"/>
        <v>0</v>
      </c>
      <c r="H84" s="82">
        <f t="shared" si="19"/>
        <v>0</v>
      </c>
      <c r="I84" s="77"/>
      <c r="J84" s="178" t="str">
        <f t="shared" si="16"/>
        <v>0</v>
      </c>
      <c r="K84" s="178" t="str">
        <f t="shared" si="17"/>
        <v>0</v>
      </c>
      <c r="L84" s="182"/>
      <c r="M84" s="95"/>
      <c r="N84" s="1"/>
    </row>
    <row r="85" spans="1:14" hidden="1">
      <c r="A85" s="86"/>
      <c r="B85" s="87"/>
      <c r="C85" s="494"/>
      <c r="D85" s="89"/>
      <c r="E85" s="88"/>
      <c r="F85" s="89"/>
      <c r="G85" s="81">
        <f t="shared" si="18"/>
        <v>0</v>
      </c>
      <c r="H85" s="82">
        <f t="shared" si="19"/>
        <v>0</v>
      </c>
      <c r="I85" s="77"/>
      <c r="J85" s="178" t="str">
        <f t="shared" si="16"/>
        <v>0</v>
      </c>
      <c r="K85" s="178" t="str">
        <f t="shared" si="17"/>
        <v>0</v>
      </c>
      <c r="L85" s="182"/>
      <c r="M85" s="95"/>
      <c r="N85" s="1"/>
    </row>
    <row r="86" spans="1:14" hidden="1">
      <c r="A86" s="86"/>
      <c r="B86" s="87"/>
      <c r="C86" s="494"/>
      <c r="D86" s="89"/>
      <c r="E86" s="88"/>
      <c r="F86" s="89"/>
      <c r="G86" s="81">
        <f t="shared" si="18"/>
        <v>0</v>
      </c>
      <c r="H86" s="82">
        <f t="shared" si="19"/>
        <v>0</v>
      </c>
      <c r="I86" s="77"/>
      <c r="J86" s="178" t="str">
        <f t="shared" si="16"/>
        <v>0</v>
      </c>
      <c r="K86" s="178" t="str">
        <f t="shared" si="17"/>
        <v>0</v>
      </c>
      <c r="L86" s="182"/>
      <c r="M86" s="95"/>
      <c r="N86" s="1"/>
    </row>
    <row r="87" spans="1:14" hidden="1">
      <c r="A87" s="86"/>
      <c r="B87" s="87"/>
      <c r="C87" s="494"/>
      <c r="D87" s="89"/>
      <c r="E87" s="88"/>
      <c r="F87" s="89"/>
      <c r="G87" s="81">
        <f t="shared" si="18"/>
        <v>0</v>
      </c>
      <c r="H87" s="82">
        <f t="shared" si="19"/>
        <v>0</v>
      </c>
      <c r="I87" s="77"/>
      <c r="J87" s="178" t="str">
        <f t="shared" si="16"/>
        <v>0</v>
      </c>
      <c r="K87" s="178" t="str">
        <f t="shared" si="17"/>
        <v>0</v>
      </c>
      <c r="L87" s="182"/>
      <c r="M87" s="95"/>
      <c r="N87" s="1"/>
    </row>
    <row r="88" spans="1:14" hidden="1">
      <c r="A88" s="86"/>
      <c r="B88" s="87"/>
      <c r="C88" s="494"/>
      <c r="D88" s="89"/>
      <c r="E88" s="88"/>
      <c r="F88" s="89"/>
      <c r="G88" s="81">
        <f t="shared" si="18"/>
        <v>0</v>
      </c>
      <c r="H88" s="82">
        <f t="shared" si="19"/>
        <v>0</v>
      </c>
      <c r="I88" s="77"/>
      <c r="J88" s="178" t="str">
        <f t="shared" si="16"/>
        <v>0</v>
      </c>
      <c r="K88" s="178" t="str">
        <f t="shared" si="17"/>
        <v>0</v>
      </c>
      <c r="L88" s="182"/>
      <c r="M88" s="95"/>
      <c r="N88" s="1"/>
    </row>
    <row r="89" spans="1:14" hidden="1">
      <c r="A89" s="86"/>
      <c r="B89" s="87"/>
      <c r="C89" s="494"/>
      <c r="D89" s="89"/>
      <c r="E89" s="88"/>
      <c r="F89" s="89"/>
      <c r="G89" s="81">
        <f t="shared" si="18"/>
        <v>0</v>
      </c>
      <c r="H89" s="82">
        <f t="shared" si="19"/>
        <v>0</v>
      </c>
      <c r="I89" s="77"/>
      <c r="J89" s="178" t="str">
        <f t="shared" si="16"/>
        <v>0</v>
      </c>
      <c r="K89" s="178" t="str">
        <f t="shared" si="17"/>
        <v>0</v>
      </c>
      <c r="L89" s="182"/>
      <c r="M89" s="95"/>
      <c r="N89" s="1"/>
    </row>
    <row r="90" spans="1:14" hidden="1">
      <c r="A90" s="86"/>
      <c r="B90" s="87"/>
      <c r="C90" s="494"/>
      <c r="D90" s="89"/>
      <c r="E90" s="88"/>
      <c r="F90" s="89"/>
      <c r="G90" s="81">
        <f t="shared" ref="G90:G94" si="20">D90*E90</f>
        <v>0</v>
      </c>
      <c r="H90" s="82">
        <f t="shared" ref="H90:H94" si="21">F90*G90</f>
        <v>0</v>
      </c>
      <c r="I90" s="77"/>
      <c r="J90" s="178" t="str">
        <f t="shared" ref="J90:J98" si="22">IFERROR(L90/H90, "0")</f>
        <v>0</v>
      </c>
      <c r="K90" s="178" t="str">
        <f t="shared" si="17"/>
        <v>0</v>
      </c>
      <c r="L90" s="183"/>
      <c r="M90" s="95"/>
      <c r="N90" s="1"/>
    </row>
    <row r="91" spans="1:14" hidden="1">
      <c r="A91" s="86"/>
      <c r="B91" s="87"/>
      <c r="C91" s="494"/>
      <c r="D91" s="89"/>
      <c r="E91" s="88"/>
      <c r="F91" s="89"/>
      <c r="G91" s="81">
        <f t="shared" si="20"/>
        <v>0</v>
      </c>
      <c r="H91" s="82">
        <f t="shared" si="21"/>
        <v>0</v>
      </c>
      <c r="I91" s="77"/>
      <c r="J91" s="178" t="str">
        <f t="shared" si="22"/>
        <v>0</v>
      </c>
      <c r="K91" s="178" t="str">
        <f t="shared" si="17"/>
        <v>0</v>
      </c>
      <c r="L91" s="184"/>
      <c r="M91" s="95"/>
      <c r="N91" s="1"/>
    </row>
    <row r="92" spans="1:14" hidden="1">
      <c r="A92" s="86"/>
      <c r="B92" s="87"/>
      <c r="C92" s="494"/>
      <c r="D92" s="89"/>
      <c r="E92" s="88"/>
      <c r="F92" s="89"/>
      <c r="G92" s="81">
        <f t="shared" si="20"/>
        <v>0</v>
      </c>
      <c r="H92" s="82">
        <f t="shared" si="21"/>
        <v>0</v>
      </c>
      <c r="I92" s="77"/>
      <c r="J92" s="178" t="str">
        <f t="shared" si="22"/>
        <v>0</v>
      </c>
      <c r="K92" s="178" t="str">
        <f t="shared" si="17"/>
        <v>0</v>
      </c>
      <c r="L92" s="184"/>
      <c r="M92" s="95"/>
      <c r="N92" s="1"/>
    </row>
    <row r="93" spans="1:14" hidden="1">
      <c r="A93" s="86"/>
      <c r="B93" s="87"/>
      <c r="C93" s="494"/>
      <c r="D93" s="89"/>
      <c r="E93" s="88"/>
      <c r="F93" s="89"/>
      <c r="G93" s="81">
        <f t="shared" si="20"/>
        <v>0</v>
      </c>
      <c r="H93" s="82">
        <f t="shared" si="21"/>
        <v>0</v>
      </c>
      <c r="I93" s="77"/>
      <c r="J93" s="178" t="str">
        <f t="shared" si="22"/>
        <v>0</v>
      </c>
      <c r="K93" s="178" t="str">
        <f t="shared" si="17"/>
        <v>0</v>
      </c>
      <c r="L93" s="184"/>
      <c r="M93" s="95"/>
      <c r="N93" s="1"/>
    </row>
    <row r="94" spans="1:14" hidden="1">
      <c r="A94" s="86"/>
      <c r="B94" s="87"/>
      <c r="C94" s="494"/>
      <c r="D94" s="89"/>
      <c r="E94" s="88"/>
      <c r="F94" s="89"/>
      <c r="G94" s="81">
        <f t="shared" si="20"/>
        <v>0</v>
      </c>
      <c r="H94" s="82">
        <f t="shared" si="21"/>
        <v>0</v>
      </c>
      <c r="I94" s="77"/>
      <c r="J94" s="178" t="str">
        <f t="shared" si="22"/>
        <v>0</v>
      </c>
      <c r="K94" s="178" t="str">
        <f t="shared" si="17"/>
        <v>0</v>
      </c>
      <c r="L94" s="184"/>
      <c r="M94" s="95"/>
      <c r="N94" s="1"/>
    </row>
    <row r="95" spans="1:14" hidden="1">
      <c r="A95" s="86"/>
      <c r="B95" s="87"/>
      <c r="C95" s="494"/>
      <c r="D95" s="89"/>
      <c r="E95" s="88"/>
      <c r="F95" s="89"/>
      <c r="G95" s="81">
        <f t="shared" ref="G95:G97" si="23">D95*E95</f>
        <v>0</v>
      </c>
      <c r="H95" s="82">
        <f t="shared" ref="H95:H97" si="24">F95*G95</f>
        <v>0</v>
      </c>
      <c r="I95" s="77"/>
      <c r="J95" s="178" t="str">
        <f t="shared" si="22"/>
        <v>0</v>
      </c>
      <c r="K95" s="178" t="str">
        <f t="shared" si="17"/>
        <v>0</v>
      </c>
      <c r="L95" s="184"/>
      <c r="M95" s="95"/>
      <c r="N95" s="1"/>
    </row>
    <row r="96" spans="1:14" hidden="1">
      <c r="A96" s="90"/>
      <c r="B96" s="91"/>
      <c r="C96" s="494"/>
      <c r="D96" s="96"/>
      <c r="E96" s="92"/>
      <c r="F96" s="89"/>
      <c r="G96" s="81">
        <f t="shared" si="23"/>
        <v>0</v>
      </c>
      <c r="H96" s="82">
        <f t="shared" si="24"/>
        <v>0</v>
      </c>
      <c r="I96" s="176"/>
      <c r="J96" s="178" t="str">
        <f t="shared" si="22"/>
        <v>0</v>
      </c>
      <c r="K96" s="178" t="str">
        <f t="shared" si="17"/>
        <v>0</v>
      </c>
      <c r="L96" s="184"/>
      <c r="M96" s="95"/>
      <c r="N96" s="1"/>
    </row>
    <row r="97" spans="1:14" hidden="1">
      <c r="A97" s="90"/>
      <c r="B97" s="91"/>
      <c r="C97" s="494"/>
      <c r="D97" s="96"/>
      <c r="E97" s="92"/>
      <c r="F97" s="89"/>
      <c r="G97" s="81">
        <f t="shared" si="23"/>
        <v>0</v>
      </c>
      <c r="H97" s="82">
        <f t="shared" si="24"/>
        <v>0</v>
      </c>
      <c r="I97" s="176"/>
      <c r="J97" s="178" t="str">
        <f t="shared" si="22"/>
        <v>0</v>
      </c>
      <c r="K97" s="178" t="str">
        <f t="shared" si="17"/>
        <v>0</v>
      </c>
      <c r="L97" s="184"/>
      <c r="M97" s="95"/>
      <c r="N97" s="1"/>
    </row>
    <row r="98" spans="1:14" ht="15.75" hidden="1" thickBot="1">
      <c r="A98" s="348"/>
      <c r="B98" s="349"/>
      <c r="C98" s="350"/>
      <c r="D98" s="351"/>
      <c r="E98" s="352"/>
      <c r="F98" s="353"/>
      <c r="G98" s="354">
        <f t="shared" ref="G98:G109" si="25">D98*E98</f>
        <v>0</v>
      </c>
      <c r="H98" s="355">
        <f t="shared" ref="H98:H109" si="26">F98*G98</f>
        <v>0</v>
      </c>
      <c r="I98" s="356"/>
      <c r="J98" s="357" t="str">
        <f t="shared" si="22"/>
        <v>0</v>
      </c>
      <c r="K98" s="357" t="str">
        <f>IFERROR(L98/D98, "0")</f>
        <v>0</v>
      </c>
      <c r="L98" s="358"/>
      <c r="M98" s="359"/>
      <c r="N98" s="1"/>
    </row>
    <row r="99" spans="1:14" ht="30.75" thickBot="1">
      <c r="A99" s="311" t="s">
        <v>106</v>
      </c>
      <c r="B99" s="97"/>
      <c r="C99" s="97"/>
      <c r="D99" s="312">
        <f>SUM(D59:D98)</f>
        <v>0</v>
      </c>
      <c r="E99" s="313"/>
      <c r="F99" s="313"/>
      <c r="G99" s="312">
        <f>SUM(G59:G98)</f>
        <v>0</v>
      </c>
      <c r="H99" s="312">
        <f>SUM(H59:H98)</f>
        <v>0</v>
      </c>
      <c r="I99" s="97"/>
      <c r="J99" s="179" t="str">
        <f>IFERROR(AVERAGE(J59:J98), "0")</f>
        <v>0</v>
      </c>
      <c r="K99" s="179" t="str">
        <f>IFERROR(AVERAGE(K59:K98), "0")</f>
        <v>0</v>
      </c>
      <c r="L99" s="314">
        <f>SUM(L59:L98)</f>
        <v>0</v>
      </c>
      <c r="M99" s="98"/>
      <c r="N99" s="1"/>
    </row>
    <row r="100" spans="1:14" ht="18.75" thickBot="1">
      <c r="A100" s="585" t="s">
        <v>107</v>
      </c>
      <c r="B100" s="586"/>
      <c r="C100" s="586"/>
      <c r="D100" s="586"/>
      <c r="E100" s="586"/>
      <c r="F100" s="586"/>
      <c r="G100" s="586"/>
      <c r="H100" s="586"/>
      <c r="I100" s="586"/>
      <c r="J100" s="586"/>
      <c r="K100" s="586"/>
      <c r="L100" s="586"/>
      <c r="M100" s="587"/>
      <c r="N100" s="1"/>
    </row>
    <row r="101" spans="1:14">
      <c r="A101" s="360"/>
      <c r="B101" s="338"/>
      <c r="C101" s="339"/>
      <c r="D101" s="340"/>
      <c r="E101" s="340"/>
      <c r="F101" s="341"/>
      <c r="G101" s="342">
        <f t="shared" si="25"/>
        <v>0</v>
      </c>
      <c r="H101" s="343">
        <f t="shared" si="26"/>
        <v>0</v>
      </c>
      <c r="I101" s="384"/>
      <c r="J101" s="345" t="str">
        <f t="shared" ref="J101:J110" si="27">IFERROR(L101/H101, "0")</f>
        <v>0</v>
      </c>
      <c r="K101" s="345" t="str">
        <f>IFERROR(L101/D101, "0")</f>
        <v>0</v>
      </c>
      <c r="L101" s="385"/>
      <c r="M101" s="346"/>
      <c r="N101" s="1"/>
    </row>
    <row r="102" spans="1:14">
      <c r="A102" s="318"/>
      <c r="B102" s="87"/>
      <c r="C102" s="494"/>
      <c r="D102" s="319"/>
      <c r="E102" s="319"/>
      <c r="F102" s="228"/>
      <c r="G102" s="81">
        <f t="shared" ref="G102:G106" si="28">D102*E102</f>
        <v>0</v>
      </c>
      <c r="H102" s="82">
        <f t="shared" ref="H102:H106" si="29">F102*G102</f>
        <v>0</v>
      </c>
      <c r="I102" s="77"/>
      <c r="J102" s="178" t="str">
        <f t="shared" ref="J102:J106" si="30">IFERROR(L102/H102, "0")</f>
        <v>0</v>
      </c>
      <c r="K102" s="178" t="str">
        <f>IFERROR(L102/D102, "0")</f>
        <v>0</v>
      </c>
      <c r="L102" s="321"/>
      <c r="M102" s="347"/>
      <c r="N102" s="1"/>
    </row>
    <row r="103" spans="1:14">
      <c r="A103" s="318"/>
      <c r="B103" s="87"/>
      <c r="C103" s="494"/>
      <c r="D103" s="319"/>
      <c r="E103" s="319"/>
      <c r="F103" s="228"/>
      <c r="G103" s="81">
        <f t="shared" si="28"/>
        <v>0</v>
      </c>
      <c r="H103" s="82">
        <f t="shared" si="29"/>
        <v>0</v>
      </c>
      <c r="I103" s="77"/>
      <c r="J103" s="178" t="str">
        <f t="shared" si="30"/>
        <v>0</v>
      </c>
      <c r="K103" s="178" t="str">
        <f t="shared" ref="K103:K109" si="31">IFERROR(L103/D103, "0")</f>
        <v>0</v>
      </c>
      <c r="L103" s="321"/>
      <c r="M103" s="347"/>
      <c r="N103" s="1"/>
    </row>
    <row r="104" spans="1:14">
      <c r="A104" s="318"/>
      <c r="B104" s="87"/>
      <c r="C104" s="494"/>
      <c r="D104" s="319"/>
      <c r="E104" s="319"/>
      <c r="F104" s="228"/>
      <c r="G104" s="81">
        <f t="shared" si="28"/>
        <v>0</v>
      </c>
      <c r="H104" s="82">
        <f t="shared" si="29"/>
        <v>0</v>
      </c>
      <c r="I104" s="77"/>
      <c r="J104" s="178" t="str">
        <f t="shared" si="30"/>
        <v>0</v>
      </c>
      <c r="K104" s="178" t="str">
        <f t="shared" si="31"/>
        <v>0</v>
      </c>
      <c r="L104" s="321"/>
      <c r="M104" s="347"/>
      <c r="N104" s="1"/>
    </row>
    <row r="105" spans="1:14" ht="15.75" thickBot="1">
      <c r="A105" s="318"/>
      <c r="B105" s="87"/>
      <c r="C105" s="494"/>
      <c r="D105" s="319"/>
      <c r="E105" s="319"/>
      <c r="F105" s="228"/>
      <c r="G105" s="81">
        <f t="shared" si="28"/>
        <v>0</v>
      </c>
      <c r="H105" s="82">
        <f t="shared" si="29"/>
        <v>0</v>
      </c>
      <c r="I105" s="77"/>
      <c r="J105" s="178" t="str">
        <f t="shared" si="30"/>
        <v>0</v>
      </c>
      <c r="K105" s="178" t="str">
        <f t="shared" si="31"/>
        <v>0</v>
      </c>
      <c r="L105" s="321"/>
      <c r="M105" s="347"/>
      <c r="N105" s="1"/>
    </row>
    <row r="106" spans="1:14" hidden="1">
      <c r="A106" s="318"/>
      <c r="B106" s="87"/>
      <c r="C106" s="494"/>
      <c r="D106" s="319"/>
      <c r="E106" s="319"/>
      <c r="F106" s="228"/>
      <c r="G106" s="81">
        <f t="shared" si="28"/>
        <v>0</v>
      </c>
      <c r="H106" s="82">
        <f t="shared" si="29"/>
        <v>0</v>
      </c>
      <c r="I106" s="77"/>
      <c r="J106" s="178" t="str">
        <f t="shared" si="30"/>
        <v>0</v>
      </c>
      <c r="K106" s="178" t="str">
        <f t="shared" si="31"/>
        <v>0</v>
      </c>
      <c r="L106" s="321"/>
      <c r="M106" s="347"/>
      <c r="N106" s="1"/>
    </row>
    <row r="107" spans="1:14" hidden="1">
      <c r="A107" s="318"/>
      <c r="B107" s="87"/>
      <c r="C107" s="494"/>
      <c r="D107" s="319"/>
      <c r="E107" s="319"/>
      <c r="F107" s="228"/>
      <c r="G107" s="81">
        <f t="shared" si="25"/>
        <v>0</v>
      </c>
      <c r="H107" s="82">
        <f t="shared" si="26"/>
        <v>0</v>
      </c>
      <c r="I107" s="176"/>
      <c r="J107" s="178" t="str">
        <f t="shared" si="27"/>
        <v>0</v>
      </c>
      <c r="K107" s="178" t="str">
        <f t="shared" si="31"/>
        <v>0</v>
      </c>
      <c r="L107" s="321"/>
      <c r="M107" s="347"/>
      <c r="N107" s="1"/>
    </row>
    <row r="108" spans="1:14" hidden="1">
      <c r="A108" s="318"/>
      <c r="B108" s="87"/>
      <c r="C108" s="494"/>
      <c r="D108" s="319"/>
      <c r="E108" s="319"/>
      <c r="F108" s="228"/>
      <c r="G108" s="81">
        <f t="shared" si="25"/>
        <v>0</v>
      </c>
      <c r="H108" s="82">
        <f t="shared" si="26"/>
        <v>0</v>
      </c>
      <c r="I108" s="177"/>
      <c r="J108" s="178" t="str">
        <f t="shared" si="27"/>
        <v>0</v>
      </c>
      <c r="K108" s="178" t="str">
        <f t="shared" si="31"/>
        <v>0</v>
      </c>
      <c r="L108" s="321"/>
      <c r="M108" s="347"/>
      <c r="N108" s="1"/>
    </row>
    <row r="109" spans="1:14" hidden="1">
      <c r="A109" s="318"/>
      <c r="B109" s="87"/>
      <c r="C109" s="494"/>
      <c r="D109" s="319"/>
      <c r="E109" s="319"/>
      <c r="F109" s="228"/>
      <c r="G109" s="81">
        <f t="shared" si="25"/>
        <v>0</v>
      </c>
      <c r="H109" s="82">
        <f t="shared" si="26"/>
        <v>0</v>
      </c>
      <c r="I109" s="100"/>
      <c r="J109" s="178" t="str">
        <f t="shared" si="27"/>
        <v>0</v>
      </c>
      <c r="K109" s="178" t="str">
        <f t="shared" si="31"/>
        <v>0</v>
      </c>
      <c r="L109" s="321"/>
      <c r="M109" s="347"/>
      <c r="N109" s="1"/>
    </row>
    <row r="110" spans="1:14" ht="15.75" hidden="1" thickBot="1">
      <c r="A110" s="361"/>
      <c r="B110" s="386"/>
      <c r="C110" s="350"/>
      <c r="D110" s="387"/>
      <c r="E110" s="387"/>
      <c r="F110" s="388"/>
      <c r="G110" s="354">
        <f t="shared" ref="G110" si="32">D110*E110</f>
        <v>0</v>
      </c>
      <c r="H110" s="355">
        <f t="shared" ref="H110" si="33">F110*G110</f>
        <v>0</v>
      </c>
      <c r="I110" s="389"/>
      <c r="J110" s="357" t="str">
        <f t="shared" si="27"/>
        <v>0</v>
      </c>
      <c r="K110" s="357" t="str">
        <f>IFERROR(L110/D110, "0")</f>
        <v>0</v>
      </c>
      <c r="L110" s="390"/>
      <c r="M110" s="391"/>
      <c r="N110" s="1"/>
    </row>
    <row r="111" spans="1:14">
      <c r="A111" s="105" t="s">
        <v>108</v>
      </c>
      <c r="B111" s="101"/>
      <c r="C111" s="101"/>
      <c r="D111" s="83">
        <f>SUM(D101:D110)</f>
        <v>0</v>
      </c>
      <c r="E111" s="101"/>
      <c r="F111" s="101"/>
      <c r="G111" s="83">
        <f>SUM(G101:G110)</f>
        <v>0</v>
      </c>
      <c r="H111" s="83">
        <f>SUM(H101:H110)</f>
        <v>0</v>
      </c>
      <c r="I111" s="101"/>
      <c r="J111" s="180" t="str">
        <f>IFERROR(AVERAGE(J101:J110),"0")</f>
        <v>0</v>
      </c>
      <c r="K111" s="180" t="str">
        <f>IFERROR(AVERAGE(K101:K110),"0")</f>
        <v>0</v>
      </c>
      <c r="L111" s="185">
        <f>SUM(L101:L110)</f>
        <v>0</v>
      </c>
      <c r="M111" s="102"/>
      <c r="N111" s="1"/>
    </row>
    <row r="112" spans="1:14" ht="15.75" thickBot="1">
      <c r="A112" s="106" t="s">
        <v>109</v>
      </c>
      <c r="B112" s="85"/>
      <c r="C112" s="85"/>
      <c r="D112" s="229">
        <f>SUM(D99,D111)</f>
        <v>0</v>
      </c>
      <c r="E112" s="85"/>
      <c r="F112" s="85"/>
      <c r="G112" s="84">
        <f>SUM(G111,G99)</f>
        <v>0</v>
      </c>
      <c r="H112" s="84">
        <f>SUM(H111,H99)</f>
        <v>0</v>
      </c>
      <c r="I112" s="103"/>
      <c r="J112" s="181" t="str">
        <f>IFERROR(AVERAGE(J59:J98,J101:J110),"0")</f>
        <v>0</v>
      </c>
      <c r="K112" s="181" t="str">
        <f>IFERROR(AVERAGE(K59:K98,K101:K110),"0")</f>
        <v>0</v>
      </c>
      <c r="L112" s="186">
        <f>SUM(L99,L111)</f>
        <v>0</v>
      </c>
      <c r="M112" s="104"/>
      <c r="N112" s="1"/>
    </row>
    <row r="113" spans="1:14">
      <c r="A113" s="45"/>
      <c r="B113" s="45"/>
      <c r="C113" s="45"/>
      <c r="D113" s="45"/>
      <c r="E113" s="45"/>
      <c r="F113" s="45"/>
      <c r="G113" s="45"/>
      <c r="H113" s="45"/>
      <c r="I113" s="45"/>
      <c r="J113" s="65"/>
      <c r="K113" s="65"/>
      <c r="L113" s="66"/>
      <c r="M113" s="45"/>
      <c r="N113" s="1"/>
    </row>
    <row r="114" spans="1:14">
      <c r="A114" s="76" t="s">
        <v>110</v>
      </c>
      <c r="B114" s="107">
        <f>L112</f>
        <v>0</v>
      </c>
      <c r="C114" s="75"/>
      <c r="D114" s="45"/>
      <c r="E114" s="45"/>
      <c r="F114" s="45"/>
      <c r="G114" s="45"/>
      <c r="H114" s="45"/>
      <c r="I114" s="45"/>
      <c r="J114" s="65"/>
      <c r="K114" s="65"/>
      <c r="L114" s="66"/>
      <c r="M114" s="45"/>
      <c r="N114" s="1"/>
    </row>
    <row r="115" spans="1:14">
      <c r="A115" s="76" t="str" cm="1">
        <f t="array" ref="A115">IFERROR(_xlfn.IFS('Current Equipment (Replacing)'!C12="8.5x11 Pages","Future Cost/Page",'Current Equipment (Replacing)'!C12="Pieces","Future Cost/Piece"),"FILL IN UNITS ON CURRENT EQ TAB")</f>
        <v>Future Cost/Page</v>
      </c>
      <c r="B115" s="79" t="str" cm="1">
        <f t="array" ref="B115">IFERROR(_xlfn.IFS('Current Equipment (Replacing)'!C12="8.5x11 Pages",L112/H112,'Current Equipment (Replacing)'!C12="Pieces",L112/D112),"-")</f>
        <v>-</v>
      </c>
      <c r="C115" s="45"/>
      <c r="D115" s="45"/>
      <c r="E115" s="45"/>
      <c r="F115" s="45"/>
      <c r="G115" s="45"/>
      <c r="H115" s="45"/>
      <c r="I115" s="45"/>
      <c r="J115" s="65"/>
      <c r="K115" s="65"/>
      <c r="L115" s="66"/>
      <c r="M115" s="45"/>
      <c r="N115" s="1"/>
    </row>
    <row r="116" spans="1:14">
      <c r="A116" s="1"/>
      <c r="B116" s="1"/>
      <c r="C116" s="1"/>
      <c r="D116" s="1"/>
      <c r="E116" s="1"/>
      <c r="F116" s="1"/>
      <c r="G116" s="1"/>
      <c r="H116" s="1"/>
      <c r="I116" s="1"/>
      <c r="J116" s="8"/>
      <c r="K116" s="8"/>
      <c r="L116" s="12"/>
      <c r="M116" s="1"/>
      <c r="N116" s="1"/>
    </row>
    <row r="117" spans="1:14">
      <c r="A117" s="1"/>
      <c r="B117" s="1"/>
      <c r="C117" s="1"/>
      <c r="D117" s="1"/>
      <c r="E117" s="1"/>
      <c r="F117" s="1"/>
      <c r="G117" s="1"/>
      <c r="H117" s="1"/>
      <c r="I117" s="1"/>
      <c r="J117" s="8"/>
      <c r="K117" s="8"/>
      <c r="L117" s="12"/>
      <c r="M117" s="1"/>
      <c r="N117" s="1"/>
    </row>
    <row r="118" spans="1:14">
      <c r="A118" s="1"/>
      <c r="B118" s="1"/>
      <c r="C118" s="1"/>
      <c r="D118" s="1"/>
      <c r="E118" s="1"/>
      <c r="F118" s="1"/>
      <c r="G118" s="1"/>
      <c r="H118" s="1"/>
      <c r="I118" s="1"/>
      <c r="J118" s="8"/>
      <c r="K118" s="8"/>
      <c r="L118" s="12"/>
      <c r="M118" s="1"/>
      <c r="N118" s="1"/>
    </row>
    <row r="119" spans="1:14">
      <c r="A119" s="1"/>
      <c r="B119" s="1"/>
      <c r="C119" s="1"/>
      <c r="D119" s="1"/>
      <c r="E119" s="1"/>
      <c r="F119" s="1"/>
      <c r="G119" s="1"/>
      <c r="H119" s="1"/>
      <c r="I119" s="1"/>
      <c r="J119" s="8"/>
      <c r="K119" s="8"/>
      <c r="L119" s="12"/>
      <c r="M119" s="1"/>
      <c r="N119" s="1"/>
    </row>
    <row r="120" spans="1:14">
      <c r="A120" s="1"/>
      <c r="B120" s="1"/>
      <c r="C120" s="1"/>
      <c r="D120" s="1"/>
      <c r="E120" s="1"/>
      <c r="F120" s="1"/>
      <c r="G120" s="1"/>
      <c r="H120" s="1"/>
      <c r="I120" s="1"/>
      <c r="J120" s="8"/>
      <c r="K120" s="8"/>
      <c r="L120" s="12"/>
      <c r="M120" s="1"/>
      <c r="N120" s="1"/>
    </row>
    <row r="121" spans="1:14">
      <c r="A121" s="1"/>
      <c r="B121" s="1"/>
      <c r="C121" s="1"/>
      <c r="D121" s="1"/>
      <c r="E121" s="1"/>
      <c r="F121" s="1"/>
      <c r="G121" s="1"/>
      <c r="H121" s="1"/>
      <c r="I121" s="1"/>
      <c r="J121" s="8"/>
      <c r="K121" s="8"/>
      <c r="L121" s="12"/>
      <c r="M121" s="1"/>
      <c r="N121" s="1"/>
    </row>
    <row r="122" spans="1:14"/>
    <row r="123" spans="1:14"/>
    <row r="124" spans="1:14"/>
    <row r="125" spans="1:14"/>
    <row r="126" spans="1:14"/>
    <row r="127" spans="1:14"/>
    <row r="128" spans="1:14"/>
    <row r="129"/>
    <row r="130"/>
    <row r="131"/>
    <row r="132"/>
    <row r="133"/>
    <row r="134"/>
    <row r="135"/>
  </sheetData>
  <sheetProtection sheet="1" objects="1" scenarios="1"/>
  <mergeCells count="8">
    <mergeCell ref="D4:J4"/>
    <mergeCell ref="A1:N1"/>
    <mergeCell ref="A2:N2"/>
    <mergeCell ref="A100:M100"/>
    <mergeCell ref="A57:M57"/>
    <mergeCell ref="A10:M10"/>
    <mergeCell ref="J53:K53"/>
    <mergeCell ref="D5:J8"/>
  </mergeCells>
  <phoneticPr fontId="10" type="noConversion"/>
  <conditionalFormatting sqref="A55">
    <cfRule type="containsText" dxfId="5" priority="2" operator="containsText" text="FILL IN UNITS ON CURRENT EQ TAB">
      <formula>NOT(ISERROR(SEARCH("FILL IN UNITS ON CURRENT EQ TAB",A55)))</formula>
    </cfRule>
  </conditionalFormatting>
  <conditionalFormatting sqref="A115">
    <cfRule type="containsText" dxfId="4" priority="1" operator="containsText" text="FILL IN UNITS ON CURRENT EQ TAB">
      <formula>NOT(ISERROR(SEARCH("FILL IN UNITS ON CURRENT EQ TAB",A115)))</formula>
    </cfRule>
  </conditionalFormatting>
  <dataValidations count="13">
    <dataValidation type="list" allowBlank="1" showInputMessage="1" showErrorMessage="1" sqref="B59:B98 B101:B110 B12:B51" xr:uid="{338FF205-E062-4B02-8AD8-FACE1F2C6C2D}">
      <formula1>"Cost Avoidance, Revenue"</formula1>
    </dataValidation>
    <dataValidation allowBlank="1" showInputMessage="1" showErrorMessage="1" promptTitle="Job Description" prompt="Brief Description of product or job. Include Product type such as booklet, brochure, etc." sqref="A58" xr:uid="{376BF386-9582-4D9B-B0C6-9FEF33BE01EF}"/>
    <dataValidation allowBlank="1" showInputMessage="1" showErrorMessage="1" prompt="Cost Avoidance - Work performed internally at no additional cost to department. This will be the selection for most in-plants._x000a__x000a_Revenue - Work performed for external customers. " sqref="B11 B58" xr:uid="{CDC7BB8E-3C8B-4AA0-9865-F800253E12ED}"/>
    <dataValidation allowBlank="1" showInputMessage="1" showErrorMessage="1" promptTitle="Assigned Press" prompt="The press the work is typically performed on" sqref="C58" xr:uid="{8A2CFA4E-6302-47B2-8C45-ECAF0FC2C19C}"/>
    <dataValidation allowBlank="1" showInputMessage="1" showErrorMessage="1" promptTitle="Annual Quantity" prompt="The total annual quantity for the job. Not necessarily the quantity provided for estimates from the private sector or OSP" sqref="D58" xr:uid="{AA30E0B4-FBCE-4130-BA15-DB1606554AD4}"/>
    <dataValidation allowBlank="1" showInputMessage="1" showErrorMessage="1" promptTitle="Impressions/Piece" prompt="The total number of impressions required to produce a single piece for the job. For example, if a 16 page, 8.5x11 page is produced, but it's printed two-up on an 11x17 sheet, the number of impressions would be 8." sqref="E58" xr:uid="{43D8E253-B989-4BC3-BDBF-2905DEF8D9BB}"/>
    <dataValidation allowBlank="1" showInputMessage="1" showErrorMessage="1" promptTitle="8.5x11 Pages Per Impression" prompt="The number of 8.5x11 pages produced per impression. For example, if a job is printed on an 11x17 sheet, it would produce two pages per impression." sqref="F11" xr:uid="{49D45213-3D3C-4966-B92A-89A1167FC99A}"/>
    <dataValidation allowBlank="1" showInputMessage="1" showErrorMessage="1" promptTitle="Annual Job Value" prompt="The total annual cost avoidance/revenue for the given job. Not necessarily the estimate value. For example, if you receive an estimate for a job that is printed monthly, you would multiply the estimated cost by 12." sqref="L11 L58" xr:uid="{68D7BF05-B9B4-4386-80C2-728822B9D6A2}"/>
    <dataValidation allowBlank="1" showInputMessage="1" showErrorMessage="1" promptTitle="Job Description" prompt="Brief description of product or job. Include product type such as booklet, brochure, etc." sqref="A11" xr:uid="{0069B3D8-1B0E-47CF-BAF5-00E0E189BCA6}"/>
    <dataValidation allowBlank="1" showInputMessage="1" showErrorMessage="1" promptTitle="Assigned Press" prompt="The press the work is typically performed on." sqref="C11" xr:uid="{248F22C5-DA4B-4B3E-BFBE-598F484359FF}"/>
    <dataValidation allowBlank="1" showInputMessage="1" showErrorMessage="1" promptTitle="Annual Quantity" prompt="The total annual quantity for the job. Not necessarily the quantity provided for estimates from the private sector or OSP." sqref="D11" xr:uid="{A45E7AC2-6B01-4AD6-AA70-C3CF1B8074D6}"/>
    <dataValidation allowBlank="1" showInputMessage="1" showErrorMessage="1" promptTitle="Impressions/Piece" prompt="The total number of impressions required to produce a single piece for the job. If bindery/finishing or inserting equipment is being requested, just enter 1." sqref="E11" xr:uid="{BB3180EF-4ED9-4032-B9B1-F116803912F4}"/>
    <dataValidation allowBlank="1" showInputMessage="1" showErrorMessage="1" promptTitle="8.5x11 Pages Per Impression" prompt="The total number of impressions required to produce a single piece for the job. If bindery/finishing or inserting equipment is being requested, just enter 1." sqref="F58" xr:uid="{EAE45DED-7F5F-480E-AA6D-7B99E6F73BBD}"/>
  </dataValidations>
  <pageMargins left="0.7" right="0.7" top="0.75" bottom="0.75" header="0.3" footer="0.3"/>
  <pageSetup orientation="landscape" r:id="rId1"/>
  <ignoredErrors>
    <ignoredError sqref="G99:H99" formula="1"/>
    <ignoredError sqref="J98 J110 J13:J51 J59 J101 J61:J89 J103:J106 J12 K12:K51 J60 J90:J97 J102 J107:J109" unlockedFormula="1"/>
    <ignoredError sqref="J99:K99" formula="1" unlockedFormula="1"/>
  </ignoredErrors>
  <extLst>
    <ext xmlns:x14="http://schemas.microsoft.com/office/spreadsheetml/2009/9/main" uri="{CCE6A557-97BC-4b89-ADB6-D9C93CAAB3DF}">
      <x14:dataValidations xmlns:xm="http://schemas.microsoft.com/office/excel/2006/main" count="2">
        <x14:dataValidation type="list" allowBlank="1" showInputMessage="1" showErrorMessage="1" xr:uid="{EB5614F3-DCC0-4E41-8F25-BA5BC8CA2E01}">
          <x14:formula1>
            <xm:f>'Proposed Equipment'!$A$8:$A$12</xm:f>
          </x14:formula1>
          <xm:sqref>C59:C98 C101:C110</xm:sqref>
        </x14:dataValidation>
        <x14:dataValidation type="list" allowBlank="1" showInputMessage="1" showErrorMessage="1" xr:uid="{8BFEA218-5C3F-4F86-8769-7A2B0EC6737F}">
          <x14:formula1>
            <xm:f>'Current Equipment (Replacing)'!$A$12:$A$16</xm:f>
          </x14:formula1>
          <xm:sqref>C12:C51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80FB8-E748-4EE8-A4A4-E967E2F8A70E}">
  <sheetPr>
    <tabColor rgb="FF89C7EE"/>
    <pageSetUpPr fitToPage="1"/>
  </sheetPr>
  <dimension ref="A1:T80"/>
  <sheetViews>
    <sheetView showGridLines="0" topLeftCell="A14" zoomScale="85" zoomScaleNormal="85" workbookViewId="0">
      <selection activeCell="C28" sqref="C28"/>
    </sheetView>
  </sheetViews>
  <sheetFormatPr defaultRowHeight="15" customHeight="1"/>
  <cols>
    <col min="1" max="1" width="2.42578125" customWidth="1"/>
    <col min="2" max="2" width="19" customWidth="1"/>
    <col min="3" max="3" width="20.85546875" customWidth="1"/>
    <col min="4" max="4" width="18.85546875" customWidth="1"/>
    <col min="5" max="5" width="22.42578125" customWidth="1"/>
    <col min="6" max="6" width="41" customWidth="1"/>
    <col min="7" max="7" width="15.28515625" customWidth="1"/>
    <col min="8" max="8" width="16.85546875" customWidth="1"/>
    <col min="9" max="9" width="19" customWidth="1"/>
    <col min="10" max="10" width="16" customWidth="1"/>
    <col min="11" max="11" width="17.140625" bestFit="1" customWidth="1"/>
    <col min="12" max="12" width="9.140625" bestFit="1" customWidth="1"/>
    <col min="13" max="13" width="9.28515625" customWidth="1"/>
    <col min="14" max="14" width="11.42578125" customWidth="1"/>
    <col min="15" max="15" width="10.42578125" customWidth="1"/>
    <col min="16" max="17" width="14.140625" customWidth="1"/>
    <col min="18" max="18" width="11.7109375" bestFit="1" customWidth="1"/>
    <col min="19" max="19" width="12.85546875" bestFit="1" customWidth="1"/>
    <col min="20" max="20" width="9.85546875" customWidth="1"/>
  </cols>
  <sheetData>
    <row r="1" spans="1:20" ht="25.5" customHeight="1">
      <c r="A1" s="585" t="s">
        <v>111</v>
      </c>
      <c r="B1" s="586"/>
      <c r="C1" s="586"/>
      <c r="D1" s="586"/>
      <c r="E1" s="586"/>
      <c r="F1" s="586"/>
      <c r="G1" s="586"/>
      <c r="H1" s="586"/>
      <c r="I1" s="586"/>
      <c r="J1" s="586"/>
      <c r="K1" s="586"/>
      <c r="L1" s="586"/>
      <c r="M1" s="586"/>
      <c r="N1" s="586"/>
      <c r="O1" s="586"/>
      <c r="P1" s="586"/>
      <c r="Q1" s="586"/>
      <c r="R1" s="586"/>
      <c r="S1" s="586"/>
      <c r="T1" s="587"/>
    </row>
    <row r="2" spans="1:20" ht="15.75">
      <c r="A2" s="532" t="s">
        <v>1</v>
      </c>
      <c r="B2" s="532"/>
      <c r="C2" s="532"/>
      <c r="D2" s="532"/>
      <c r="E2" s="532"/>
      <c r="F2" s="532"/>
      <c r="G2" s="532"/>
      <c r="H2" s="532"/>
      <c r="I2" s="532"/>
      <c r="J2" s="532"/>
      <c r="K2" s="532"/>
      <c r="L2" s="532"/>
      <c r="M2" s="532"/>
      <c r="N2" s="532"/>
      <c r="O2" s="532"/>
      <c r="P2" s="532"/>
      <c r="Q2" s="532"/>
      <c r="R2" s="532"/>
      <c r="S2" s="532"/>
      <c r="T2" s="532"/>
    </row>
    <row r="3" spans="1:20" ht="27" customHeight="1">
      <c r="A3" s="1"/>
      <c r="B3" s="310"/>
      <c r="C3" s="310"/>
      <c r="D3" s="310"/>
      <c r="E3" s="310"/>
      <c r="F3" s="310"/>
      <c r="G3" s="310"/>
      <c r="H3" s="310"/>
      <c r="I3" s="310"/>
      <c r="J3" s="310"/>
      <c r="K3" s="310"/>
      <c r="L3" s="310"/>
      <c r="M3" s="310"/>
      <c r="N3" s="310"/>
      <c r="O3" s="310"/>
      <c r="P3" s="310"/>
      <c r="Q3" s="310"/>
      <c r="R3" s="310"/>
      <c r="S3" s="310"/>
      <c r="T3" s="310"/>
    </row>
    <row r="4" spans="1:20" ht="14.25" customHeight="1">
      <c r="A4" s="1"/>
      <c r="B4" s="310"/>
      <c r="C4" s="192" t="s">
        <v>39</v>
      </c>
      <c r="D4" s="192" t="s">
        <v>112</v>
      </c>
      <c r="E4" s="193" t="s">
        <v>113</v>
      </c>
      <c r="F4" s="310"/>
      <c r="G4" s="310"/>
      <c r="H4" s="310"/>
      <c r="I4" s="310"/>
      <c r="J4" s="310"/>
      <c r="K4" s="310"/>
      <c r="L4" s="310"/>
      <c r="M4" s="310"/>
      <c r="N4" s="310"/>
      <c r="O4" s="310"/>
      <c r="P4" s="310"/>
      <c r="Q4" s="310"/>
      <c r="R4" s="310"/>
      <c r="S4" s="310"/>
      <c r="T4" s="310"/>
    </row>
    <row r="5" spans="1:20" ht="14.25" customHeight="1">
      <c r="A5" s="1"/>
      <c r="B5" s="194" t="s">
        <v>114</v>
      </c>
      <c r="C5" s="230">
        <f>SUM(B37:D37)</f>
        <v>0</v>
      </c>
      <c r="D5" s="230">
        <f>SUM(B64:D64)</f>
        <v>0</v>
      </c>
      <c r="E5" s="36">
        <f>D5-C5</f>
        <v>0</v>
      </c>
      <c r="F5" s="310"/>
      <c r="G5" s="310"/>
      <c r="H5" s="310"/>
      <c r="I5" s="310"/>
      <c r="J5" s="310"/>
      <c r="K5" s="310"/>
      <c r="L5" s="310"/>
      <c r="M5" s="310"/>
      <c r="N5" s="310"/>
      <c r="O5" s="310"/>
      <c r="P5" s="310"/>
      <c r="Q5" s="310"/>
      <c r="R5" s="310"/>
      <c r="S5" s="310"/>
      <c r="T5" s="310"/>
    </row>
    <row r="6" spans="1:20" ht="14.25" customHeight="1">
      <c r="A6" s="1"/>
      <c r="B6" s="194" t="s">
        <v>115</v>
      </c>
      <c r="C6" s="37">
        <f>I37</f>
        <v>0</v>
      </c>
      <c r="D6" s="37">
        <f>I64</f>
        <v>0</v>
      </c>
      <c r="E6" s="38">
        <f>D6-C6</f>
        <v>0</v>
      </c>
      <c r="F6" s="310"/>
      <c r="G6" s="310"/>
      <c r="H6" s="310"/>
      <c r="I6" s="310"/>
      <c r="J6" s="310"/>
      <c r="K6" s="28"/>
      <c r="L6" s="310"/>
      <c r="M6" s="28"/>
      <c r="N6" s="310"/>
      <c r="O6" s="310"/>
      <c r="P6" s="310"/>
      <c r="Q6" s="310"/>
      <c r="R6" s="310"/>
      <c r="S6" s="310"/>
      <c r="T6" s="310"/>
    </row>
    <row r="7" spans="1:20" ht="14.25" customHeight="1">
      <c r="A7" s="1"/>
      <c r="B7" s="194" t="s">
        <v>116</v>
      </c>
      <c r="C7" s="37">
        <f>J37</f>
        <v>0</v>
      </c>
      <c r="D7" s="37">
        <f>J64</f>
        <v>0</v>
      </c>
      <c r="E7" s="37">
        <f>D7-C7</f>
        <v>0</v>
      </c>
      <c r="F7" s="310"/>
      <c r="G7" s="310"/>
      <c r="H7" s="310"/>
      <c r="I7" s="310"/>
      <c r="J7" s="310"/>
      <c r="K7" s="28"/>
      <c r="L7" s="310"/>
      <c r="M7" s="28"/>
      <c r="N7" s="1"/>
      <c r="O7" s="310"/>
      <c r="P7" s="310"/>
      <c r="Q7" s="310"/>
      <c r="R7" s="310"/>
      <c r="S7" s="310"/>
      <c r="T7" s="310"/>
    </row>
    <row r="8" spans="1:20" ht="15.75" customHeight="1">
      <c r="A8" s="1"/>
      <c r="B8" s="195" t="s">
        <v>117</v>
      </c>
      <c r="C8" s="39">
        <f>C6+C7</f>
        <v>0</v>
      </c>
      <c r="D8" s="37">
        <f>D6+D7</f>
        <v>0</v>
      </c>
      <c r="E8" s="37">
        <f>D8-C8</f>
        <v>0</v>
      </c>
      <c r="F8" s="310"/>
      <c r="G8" s="310"/>
      <c r="H8" s="310"/>
      <c r="I8" s="310"/>
      <c r="J8" s="310"/>
      <c r="K8" s="28"/>
      <c r="L8" s="310"/>
      <c r="M8" s="28"/>
      <c r="N8" s="1"/>
      <c r="O8" s="310"/>
      <c r="P8" s="310"/>
      <c r="Q8" s="310"/>
      <c r="R8" s="310"/>
      <c r="S8" s="310"/>
      <c r="T8" s="310"/>
    </row>
    <row r="9" spans="1:20" ht="14.25" customHeight="1">
      <c r="A9" s="1"/>
      <c r="B9" s="310"/>
      <c r="C9" s="310"/>
      <c r="D9" s="310"/>
      <c r="E9" s="310"/>
      <c r="F9" s="310"/>
      <c r="G9" s="310"/>
      <c r="H9" s="310"/>
      <c r="I9" s="310"/>
      <c r="J9" s="310"/>
      <c r="K9" s="28"/>
      <c r="L9" s="310"/>
      <c r="M9" s="28"/>
      <c r="N9" s="28"/>
      <c r="O9" s="310"/>
      <c r="P9" s="310"/>
      <c r="Q9" s="310"/>
      <c r="R9" s="310"/>
      <c r="S9" s="310"/>
      <c r="T9" s="310"/>
    </row>
    <row r="10" spans="1:20" ht="14.25" customHeight="1">
      <c r="A10" s="1"/>
      <c r="B10" s="310"/>
      <c r="C10" s="638" t="s">
        <v>118</v>
      </c>
      <c r="D10" s="639"/>
      <c r="E10" s="310"/>
      <c r="F10" s="237"/>
      <c r="G10" s="310"/>
      <c r="H10" s="310"/>
      <c r="I10" s="310"/>
      <c r="J10" s="310"/>
      <c r="K10" s="28"/>
      <c r="L10" s="310"/>
      <c r="M10" s="28"/>
      <c r="N10" s="28"/>
      <c r="O10" s="310"/>
      <c r="P10" s="310"/>
      <c r="Q10" s="310"/>
      <c r="R10" s="310"/>
      <c r="S10" s="310"/>
      <c r="T10" s="310"/>
    </row>
    <row r="11" spans="1:20" ht="14.25" customHeight="1">
      <c r="A11" s="1"/>
      <c r="B11" s="29"/>
      <c r="C11" s="640">
        <v>0.59</v>
      </c>
      <c r="D11" s="641"/>
      <c r="E11" s="310"/>
      <c r="F11" s="310"/>
      <c r="G11" s="310"/>
      <c r="H11" s="310"/>
      <c r="I11" s="310"/>
      <c r="J11" s="310"/>
      <c r="K11" s="28"/>
      <c r="L11" s="310"/>
      <c r="M11" s="310"/>
      <c r="N11" s="310"/>
      <c r="O11" s="310"/>
      <c r="P11" s="310"/>
      <c r="Q11" s="310"/>
      <c r="R11" s="310"/>
      <c r="S11" s="310"/>
      <c r="T11" s="310"/>
    </row>
    <row r="12" spans="1:20" ht="14.25" customHeight="1">
      <c r="A12" s="1"/>
      <c r="B12" s="29"/>
      <c r="C12" s="29"/>
      <c r="D12" s="29"/>
      <c r="E12" s="29"/>
      <c r="F12" s="29"/>
      <c r="G12" s="10"/>
      <c r="H12" s="10"/>
      <c r="I12" s="10"/>
      <c r="J12" s="11"/>
      <c r="K12" s="28"/>
      <c r="L12" s="310"/>
      <c r="M12" s="310"/>
      <c r="N12" s="310"/>
      <c r="O12" s="310"/>
      <c r="P12" s="310"/>
      <c r="Q12" s="310"/>
      <c r="R12" s="310"/>
      <c r="S12" s="310"/>
      <c r="T12" s="310"/>
    </row>
    <row r="13" spans="1:20" ht="15" customHeight="1">
      <c r="A13" s="1"/>
      <c r="B13" s="627" t="s">
        <v>119</v>
      </c>
      <c r="C13" s="628"/>
      <c r="D13" s="628"/>
      <c r="E13" s="628"/>
      <c r="F13" s="628"/>
      <c r="G13" s="628"/>
      <c r="H13" s="628"/>
      <c r="I13" s="628"/>
      <c r="J13" s="628"/>
      <c r="K13" s="629"/>
      <c r="L13" s="1"/>
      <c r="M13" s="608" t="s">
        <v>120</v>
      </c>
      <c r="N13" s="609"/>
      <c r="O13" s="609"/>
      <c r="P13" s="610"/>
      <c r="Q13" s="310"/>
      <c r="R13" s="310"/>
      <c r="S13" s="310"/>
      <c r="T13" s="1"/>
    </row>
    <row r="14" spans="1:20" ht="14.25" customHeight="1">
      <c r="A14" s="1"/>
      <c r="B14" s="630"/>
      <c r="C14" s="631"/>
      <c r="D14" s="631"/>
      <c r="E14" s="631"/>
      <c r="F14" s="631"/>
      <c r="G14" s="631"/>
      <c r="H14" s="631"/>
      <c r="I14" s="631"/>
      <c r="J14" s="631"/>
      <c r="K14" s="632"/>
      <c r="L14" s="30"/>
      <c r="M14" s="611"/>
      <c r="N14" s="612"/>
      <c r="O14" s="612"/>
      <c r="P14" s="613"/>
      <c r="Q14" s="310"/>
      <c r="R14" s="310"/>
      <c r="S14" s="310"/>
      <c r="T14" s="1"/>
    </row>
    <row r="15" spans="1:20" ht="30.75" customHeight="1">
      <c r="A15" s="1"/>
      <c r="B15" s="492" t="s">
        <v>121</v>
      </c>
      <c r="C15" s="492" t="s">
        <v>122</v>
      </c>
      <c r="D15" s="492" t="s">
        <v>123</v>
      </c>
      <c r="E15" s="623" t="s">
        <v>124</v>
      </c>
      <c r="F15" s="635" t="s">
        <v>125</v>
      </c>
      <c r="G15" s="625" t="s">
        <v>126</v>
      </c>
      <c r="H15" s="625" t="s">
        <v>127</v>
      </c>
      <c r="I15" s="625" t="s">
        <v>128</v>
      </c>
      <c r="J15" s="625" t="s">
        <v>116</v>
      </c>
      <c r="K15" s="625" t="s">
        <v>129</v>
      </c>
      <c r="L15" s="1"/>
      <c r="M15" s="614" t="s">
        <v>130</v>
      </c>
      <c r="N15" s="615"/>
      <c r="O15" s="615"/>
      <c r="P15" s="616"/>
      <c r="Q15" s="310"/>
      <c r="R15" s="310"/>
      <c r="S15" s="310"/>
      <c r="T15" s="1"/>
    </row>
    <row r="16" spans="1:20" ht="36" customHeight="1">
      <c r="A16" s="1"/>
      <c r="B16" s="43" t="s">
        <v>131</v>
      </c>
      <c r="C16" s="43" t="s">
        <v>132</v>
      </c>
      <c r="D16" s="43" t="s">
        <v>133</v>
      </c>
      <c r="E16" s="624"/>
      <c r="F16" s="636"/>
      <c r="G16" s="626"/>
      <c r="H16" s="637"/>
      <c r="I16" s="626"/>
      <c r="J16" s="626"/>
      <c r="K16" s="626"/>
      <c r="L16" s="1"/>
      <c r="M16" s="617"/>
      <c r="N16" s="618"/>
      <c r="O16" s="618"/>
      <c r="P16" s="619"/>
      <c r="Q16" s="310"/>
      <c r="R16" s="310"/>
      <c r="S16" s="310"/>
      <c r="T16" s="1"/>
    </row>
    <row r="17" spans="1:20" ht="15.75" customHeight="1">
      <c r="A17" s="1"/>
      <c r="B17" s="196"/>
      <c r="C17" s="196"/>
      <c r="D17" s="197"/>
      <c r="E17" s="198"/>
      <c r="F17" s="199"/>
      <c r="G17" s="292" t="str">
        <f>IF(ISTEXT(F17), VLOOKUP(F17, Sheet1!$A$2:$B$41,2,FALSE),"-")</f>
        <v>-</v>
      </c>
      <c r="H17" s="289" t="str">
        <f>IF(AND(C17&gt;0,D17&gt;0),(G17*0.08*C17)+(G17*0.1*D17),IF(C17&gt;0,G17*0.08*C17,IF(D17&gt;0,G17*0.1*D17,"0")))</f>
        <v>0</v>
      </c>
      <c r="I17" s="286" t="str">
        <f>IF(ISNONTEXT(G17),SUM(B17:D17)*G17+H17,"-")</f>
        <v>-</v>
      </c>
      <c r="J17" s="200" t="str">
        <f>IF(ISNONTEXT(G17),SUM(B17:D17)*G17*$C$11,"-")</f>
        <v>-</v>
      </c>
      <c r="K17" s="200" t="str">
        <f>IF(ISNONTEXT(G17),I17+J17,"-")</f>
        <v>-</v>
      </c>
      <c r="L17" s="1"/>
      <c r="M17" s="617"/>
      <c r="N17" s="618"/>
      <c r="O17" s="618"/>
      <c r="P17" s="619"/>
      <c r="Q17" s="310"/>
      <c r="R17" s="310"/>
      <c r="S17" s="310"/>
      <c r="T17" s="1"/>
    </row>
    <row r="18" spans="1:20" ht="15.75" customHeight="1">
      <c r="A18" s="1"/>
      <c r="B18" s="196"/>
      <c r="C18" s="196"/>
      <c r="D18" s="197"/>
      <c r="E18" s="201"/>
      <c r="F18" s="202"/>
      <c r="G18" s="293" t="str">
        <f>IF(ISTEXT(F18), VLOOKUP(F18, Sheet1!$A$2:$B$41,2,FALSE),"-")</f>
        <v>-</v>
      </c>
      <c r="H18" s="290" t="str">
        <f t="shared" ref="H18:H36" si="0">IF(AND(C18&gt;0,D18&gt;0),(G18*0.08*C18)+(G18*0.1*D18),IF(C18&gt;0,G18*0.08*C18,IF(D18&gt;0,G18*0.1*D18,"0")))</f>
        <v>0</v>
      </c>
      <c r="I18" s="287" t="str">
        <f t="shared" ref="I18:I31" si="1">IF(ISNONTEXT(G18),SUM(B18:D18)*G18+H18,"-")</f>
        <v>-</v>
      </c>
      <c r="J18" s="203" t="str">
        <f t="shared" ref="J18:J31" si="2">IF(ISNONTEXT(G18),SUM(B18:D18)*G18*$C$11,"-")</f>
        <v>-</v>
      </c>
      <c r="K18" s="203" t="str">
        <f t="shared" ref="K18:K31" si="3">IF(ISNONTEXT(G18),I18+J18,"-")</f>
        <v>-</v>
      </c>
      <c r="L18" s="1"/>
      <c r="M18" s="617"/>
      <c r="N18" s="618"/>
      <c r="O18" s="618"/>
      <c r="P18" s="619"/>
      <c r="Q18" s="310"/>
      <c r="R18" s="310"/>
      <c r="S18" s="310"/>
      <c r="T18" s="1"/>
    </row>
    <row r="19" spans="1:20" ht="15.75" customHeight="1">
      <c r="A19" s="1"/>
      <c r="B19" s="196"/>
      <c r="C19" s="196"/>
      <c r="D19" s="197"/>
      <c r="E19" s="201"/>
      <c r="F19" s="202"/>
      <c r="G19" s="293" t="str">
        <f>IF(ISTEXT(F19), VLOOKUP(F19, Sheet1!$A$2:$B$41,2,FALSE),"-")</f>
        <v>-</v>
      </c>
      <c r="H19" s="290" t="str">
        <f t="shared" si="0"/>
        <v>0</v>
      </c>
      <c r="I19" s="287" t="str">
        <f t="shared" si="1"/>
        <v>-</v>
      </c>
      <c r="J19" s="203" t="str">
        <f t="shared" si="2"/>
        <v>-</v>
      </c>
      <c r="K19" s="203" t="str">
        <f t="shared" si="3"/>
        <v>-</v>
      </c>
      <c r="L19" s="1"/>
      <c r="M19" s="617"/>
      <c r="N19" s="618"/>
      <c r="O19" s="618"/>
      <c r="P19" s="619"/>
      <c r="Q19" s="310"/>
      <c r="R19" s="310"/>
      <c r="S19" s="310"/>
      <c r="T19" s="1"/>
    </row>
    <row r="20" spans="1:20" ht="15.75" customHeight="1">
      <c r="A20" s="1"/>
      <c r="B20" s="196"/>
      <c r="C20" s="196"/>
      <c r="D20" s="197"/>
      <c r="E20" s="201"/>
      <c r="F20" s="202"/>
      <c r="G20" s="293" t="str">
        <f>IF(ISTEXT(F20), VLOOKUP(F20, Sheet1!$A$2:$B$41,2,FALSE),"-")</f>
        <v>-</v>
      </c>
      <c r="H20" s="290" t="str">
        <f t="shared" si="0"/>
        <v>0</v>
      </c>
      <c r="I20" s="287" t="str">
        <f t="shared" si="1"/>
        <v>-</v>
      </c>
      <c r="J20" s="203" t="str">
        <f t="shared" si="2"/>
        <v>-</v>
      </c>
      <c r="K20" s="203" t="str">
        <f t="shared" si="3"/>
        <v>-</v>
      </c>
      <c r="L20" s="1"/>
      <c r="M20" s="617"/>
      <c r="N20" s="618"/>
      <c r="O20" s="618"/>
      <c r="P20" s="619"/>
      <c r="Q20" s="310"/>
      <c r="R20" s="310"/>
      <c r="S20" s="310"/>
      <c r="T20" s="1"/>
    </row>
    <row r="21" spans="1:20" ht="15.75" customHeight="1">
      <c r="A21" s="1"/>
      <c r="B21" s="196"/>
      <c r="C21" s="196"/>
      <c r="D21" s="197"/>
      <c r="E21" s="201"/>
      <c r="F21" s="202"/>
      <c r="G21" s="293" t="str">
        <f>IF(ISTEXT(F21), VLOOKUP(F21, Sheet1!$A$2:$B$41,2,FALSE),"-")</f>
        <v>-</v>
      </c>
      <c r="H21" s="290" t="str">
        <f t="shared" si="0"/>
        <v>0</v>
      </c>
      <c r="I21" s="287" t="str">
        <f t="shared" si="1"/>
        <v>-</v>
      </c>
      <c r="J21" s="203" t="str">
        <f t="shared" si="2"/>
        <v>-</v>
      </c>
      <c r="K21" s="203" t="str">
        <f t="shared" si="3"/>
        <v>-</v>
      </c>
      <c r="L21" s="1"/>
      <c r="M21" s="617"/>
      <c r="N21" s="618"/>
      <c r="O21" s="618"/>
      <c r="P21" s="619"/>
      <c r="Q21" s="310"/>
      <c r="R21" s="310"/>
      <c r="S21" s="310"/>
      <c r="T21" s="1"/>
    </row>
    <row r="22" spans="1:20" ht="15.75" hidden="1" customHeight="1">
      <c r="A22" s="1"/>
      <c r="B22" s="196"/>
      <c r="C22" s="196"/>
      <c r="D22" s="197"/>
      <c r="E22" s="201"/>
      <c r="F22" s="202"/>
      <c r="G22" s="293" t="str">
        <f>IF(ISTEXT(F22), VLOOKUP(F22, Sheet1!$A$2:$B$41,2,FALSE),"-")</f>
        <v>-</v>
      </c>
      <c r="H22" s="290" t="str">
        <f t="shared" si="0"/>
        <v>0</v>
      </c>
      <c r="I22" s="287" t="str">
        <f t="shared" si="1"/>
        <v>-</v>
      </c>
      <c r="J22" s="203" t="str">
        <f t="shared" si="2"/>
        <v>-</v>
      </c>
      <c r="K22" s="203" t="str">
        <f t="shared" si="3"/>
        <v>-</v>
      </c>
      <c r="L22" s="1"/>
      <c r="M22" s="617"/>
      <c r="N22" s="618"/>
      <c r="O22" s="618"/>
      <c r="P22" s="619"/>
      <c r="Q22" s="310"/>
      <c r="R22" s="310"/>
      <c r="S22" s="310"/>
      <c r="T22" s="1"/>
    </row>
    <row r="23" spans="1:20" ht="15.75" hidden="1" customHeight="1">
      <c r="A23" s="1"/>
      <c r="B23" s="196"/>
      <c r="C23" s="196"/>
      <c r="D23" s="197"/>
      <c r="E23" s="201"/>
      <c r="F23" s="202"/>
      <c r="G23" s="293" t="str">
        <f>IF(ISTEXT(F23), VLOOKUP(F23, Sheet1!$A$2:$B$41,2,FALSE),"-")</f>
        <v>-</v>
      </c>
      <c r="H23" s="290" t="str">
        <f t="shared" si="0"/>
        <v>0</v>
      </c>
      <c r="I23" s="287" t="str">
        <f t="shared" si="1"/>
        <v>-</v>
      </c>
      <c r="J23" s="203" t="str">
        <f t="shared" si="2"/>
        <v>-</v>
      </c>
      <c r="K23" s="203" t="str">
        <f t="shared" si="3"/>
        <v>-</v>
      </c>
      <c r="L23" s="1"/>
      <c r="M23" s="617"/>
      <c r="N23" s="618"/>
      <c r="O23" s="618"/>
      <c r="P23" s="619"/>
      <c r="Q23" s="310"/>
      <c r="R23" s="310"/>
      <c r="S23" s="310"/>
      <c r="T23" s="1"/>
    </row>
    <row r="24" spans="1:20" ht="15.75" hidden="1" customHeight="1">
      <c r="A24" s="1"/>
      <c r="B24" s="196"/>
      <c r="C24" s="196"/>
      <c r="D24" s="197"/>
      <c r="E24" s="201"/>
      <c r="F24" s="202"/>
      <c r="G24" s="293" t="str">
        <f>IF(ISTEXT(F24), VLOOKUP(F24, Sheet1!$A$2:$B$41,2,FALSE),"-")</f>
        <v>-</v>
      </c>
      <c r="H24" s="290" t="str">
        <f t="shared" si="0"/>
        <v>0</v>
      </c>
      <c r="I24" s="287" t="str">
        <f t="shared" si="1"/>
        <v>-</v>
      </c>
      <c r="J24" s="203" t="str">
        <f t="shared" si="2"/>
        <v>-</v>
      </c>
      <c r="K24" s="203" t="str">
        <f t="shared" si="3"/>
        <v>-</v>
      </c>
      <c r="L24" s="1"/>
      <c r="M24" s="617"/>
      <c r="N24" s="618"/>
      <c r="O24" s="618"/>
      <c r="P24" s="619"/>
      <c r="Q24" s="310"/>
      <c r="R24" s="310"/>
      <c r="S24" s="310"/>
      <c r="T24" s="1"/>
    </row>
    <row r="25" spans="1:20" ht="15.75" hidden="1" customHeight="1">
      <c r="A25" s="1"/>
      <c r="B25" s="196"/>
      <c r="C25" s="196"/>
      <c r="D25" s="197"/>
      <c r="E25" s="201"/>
      <c r="F25" s="202"/>
      <c r="G25" s="293" t="str">
        <f>IF(ISTEXT(F25), VLOOKUP(F25, Sheet1!$A$2:$B$41,2,FALSE),"-")</f>
        <v>-</v>
      </c>
      <c r="H25" s="290" t="str">
        <f t="shared" si="0"/>
        <v>0</v>
      </c>
      <c r="I25" s="287" t="str">
        <f t="shared" si="1"/>
        <v>-</v>
      </c>
      <c r="J25" s="203" t="str">
        <f t="shared" si="2"/>
        <v>-</v>
      </c>
      <c r="K25" s="203" t="str">
        <f t="shared" si="3"/>
        <v>-</v>
      </c>
      <c r="L25" s="1"/>
      <c r="M25" s="617"/>
      <c r="N25" s="618"/>
      <c r="O25" s="618"/>
      <c r="P25" s="619"/>
      <c r="Q25" s="310"/>
      <c r="R25" s="310"/>
      <c r="S25" s="310"/>
      <c r="T25" s="1"/>
    </row>
    <row r="26" spans="1:20" ht="15.75" hidden="1" customHeight="1">
      <c r="A26" s="1"/>
      <c r="B26" s="196"/>
      <c r="C26" s="196"/>
      <c r="D26" s="197"/>
      <c r="E26" s="201"/>
      <c r="F26" s="202"/>
      <c r="G26" s="293" t="str">
        <f>IF(ISTEXT(F26), VLOOKUP(F26, Sheet1!$A$2:$B$41,2,FALSE),"-")</f>
        <v>-</v>
      </c>
      <c r="H26" s="290" t="str">
        <f t="shared" si="0"/>
        <v>0</v>
      </c>
      <c r="I26" s="287" t="str">
        <f t="shared" si="1"/>
        <v>-</v>
      </c>
      <c r="J26" s="203" t="str">
        <f t="shared" si="2"/>
        <v>-</v>
      </c>
      <c r="K26" s="203" t="str">
        <f t="shared" si="3"/>
        <v>-</v>
      </c>
      <c r="L26" s="1"/>
      <c r="M26" s="617"/>
      <c r="N26" s="618"/>
      <c r="O26" s="618"/>
      <c r="P26" s="619"/>
      <c r="Q26" s="310"/>
      <c r="R26" s="310"/>
      <c r="S26" s="310"/>
      <c r="T26" s="1"/>
    </row>
    <row r="27" spans="1:20" ht="15.75" hidden="1" customHeight="1">
      <c r="A27" s="1"/>
      <c r="B27" s="196"/>
      <c r="C27" s="196"/>
      <c r="D27" s="197"/>
      <c r="E27" s="201"/>
      <c r="F27" s="202"/>
      <c r="G27" s="293" t="str">
        <f>IF(ISTEXT(F27), VLOOKUP(F27, Sheet1!$A$2:$B$41,2,FALSE),"-")</f>
        <v>-</v>
      </c>
      <c r="H27" s="290" t="str">
        <f t="shared" si="0"/>
        <v>0</v>
      </c>
      <c r="I27" s="287" t="str">
        <f t="shared" si="1"/>
        <v>-</v>
      </c>
      <c r="J27" s="203" t="str">
        <f t="shared" si="2"/>
        <v>-</v>
      </c>
      <c r="K27" s="203" t="str">
        <f t="shared" si="3"/>
        <v>-</v>
      </c>
      <c r="L27" s="1"/>
      <c r="M27" s="617"/>
      <c r="N27" s="618"/>
      <c r="O27" s="618"/>
      <c r="P27" s="619"/>
      <c r="Q27" s="310"/>
      <c r="R27" s="310"/>
      <c r="S27" s="310"/>
      <c r="T27" s="1"/>
    </row>
    <row r="28" spans="1:20" ht="15.75" hidden="1" customHeight="1">
      <c r="A28" s="1"/>
      <c r="B28" s="196"/>
      <c r="C28" s="196"/>
      <c r="D28" s="197"/>
      <c r="E28" s="201"/>
      <c r="F28" s="202"/>
      <c r="G28" s="293" t="str">
        <f>IF(ISTEXT(F28), VLOOKUP(F28, Sheet1!$A$2:$B$41,2,FALSE),"-")</f>
        <v>-</v>
      </c>
      <c r="H28" s="290" t="str">
        <f t="shared" si="0"/>
        <v>0</v>
      </c>
      <c r="I28" s="287" t="str">
        <f t="shared" si="1"/>
        <v>-</v>
      </c>
      <c r="J28" s="203" t="str">
        <f t="shared" si="2"/>
        <v>-</v>
      </c>
      <c r="K28" s="203" t="str">
        <f t="shared" si="3"/>
        <v>-</v>
      </c>
      <c r="L28" s="1"/>
      <c r="M28" s="617"/>
      <c r="N28" s="618"/>
      <c r="O28" s="618"/>
      <c r="P28" s="619"/>
      <c r="Q28" s="310"/>
      <c r="R28" s="310"/>
      <c r="S28" s="310"/>
      <c r="T28" s="1"/>
    </row>
    <row r="29" spans="1:20" ht="15.75" hidden="1" customHeight="1">
      <c r="A29" s="1"/>
      <c r="B29" s="196"/>
      <c r="C29" s="196"/>
      <c r="D29" s="197"/>
      <c r="E29" s="201"/>
      <c r="F29" s="202"/>
      <c r="G29" s="293" t="str">
        <f>IF(ISTEXT(F29), VLOOKUP(F29, Sheet1!$A$2:$B$41,2,FALSE),"-")</f>
        <v>-</v>
      </c>
      <c r="H29" s="290" t="str">
        <f t="shared" si="0"/>
        <v>0</v>
      </c>
      <c r="I29" s="287" t="str">
        <f t="shared" si="1"/>
        <v>-</v>
      </c>
      <c r="J29" s="203" t="str">
        <f t="shared" si="2"/>
        <v>-</v>
      </c>
      <c r="K29" s="203" t="str">
        <f t="shared" si="3"/>
        <v>-</v>
      </c>
      <c r="L29" s="1"/>
      <c r="M29" s="617"/>
      <c r="N29" s="618"/>
      <c r="O29" s="618"/>
      <c r="P29" s="619"/>
      <c r="Q29" s="310"/>
      <c r="R29" s="310"/>
      <c r="S29" s="310"/>
      <c r="T29" s="1"/>
    </row>
    <row r="30" spans="1:20" ht="15.75" hidden="1" customHeight="1">
      <c r="A30" s="1"/>
      <c r="B30" s="196"/>
      <c r="C30" s="196"/>
      <c r="D30" s="197"/>
      <c r="E30" s="201"/>
      <c r="F30" s="202"/>
      <c r="G30" s="293" t="str">
        <f>IF(ISTEXT(F30), VLOOKUP(F30, Sheet1!$A$2:$B$41,2,FALSE),"-")</f>
        <v>-</v>
      </c>
      <c r="H30" s="290" t="str">
        <f t="shared" si="0"/>
        <v>0</v>
      </c>
      <c r="I30" s="287" t="str">
        <f t="shared" si="1"/>
        <v>-</v>
      </c>
      <c r="J30" s="203" t="str">
        <f t="shared" si="2"/>
        <v>-</v>
      </c>
      <c r="K30" s="203" t="str">
        <f t="shared" si="3"/>
        <v>-</v>
      </c>
      <c r="L30" s="1"/>
      <c r="M30" s="617"/>
      <c r="N30" s="618"/>
      <c r="O30" s="618"/>
      <c r="P30" s="619"/>
      <c r="Q30" s="310"/>
      <c r="R30" s="310"/>
      <c r="S30" s="310"/>
      <c r="T30" s="1"/>
    </row>
    <row r="31" spans="1:20" ht="15.75" hidden="1" customHeight="1">
      <c r="A31" s="1"/>
      <c r="B31" s="196"/>
      <c r="C31" s="196"/>
      <c r="D31" s="197"/>
      <c r="E31" s="201"/>
      <c r="F31" s="202"/>
      <c r="G31" s="293" t="str">
        <f>IF(ISTEXT(F31), VLOOKUP(F31, Sheet1!$A$2:$B$41,2,FALSE),"-")</f>
        <v>-</v>
      </c>
      <c r="H31" s="290" t="str">
        <f t="shared" si="0"/>
        <v>0</v>
      </c>
      <c r="I31" s="287" t="str">
        <f t="shared" si="1"/>
        <v>-</v>
      </c>
      <c r="J31" s="203" t="str">
        <f t="shared" si="2"/>
        <v>-</v>
      </c>
      <c r="K31" s="203" t="str">
        <f t="shared" si="3"/>
        <v>-</v>
      </c>
      <c r="L31" s="1"/>
      <c r="M31" s="617"/>
      <c r="N31" s="618"/>
      <c r="O31" s="618"/>
      <c r="P31" s="619"/>
      <c r="Q31" s="310"/>
      <c r="R31" s="310"/>
      <c r="S31" s="310"/>
      <c r="T31" s="1"/>
    </row>
    <row r="32" spans="1:20" ht="15" hidden="1" customHeight="1">
      <c r="A32" s="1"/>
      <c r="B32" s="204"/>
      <c r="C32" s="204"/>
      <c r="D32" s="205"/>
      <c r="E32" s="201"/>
      <c r="F32" s="206" t="s">
        <v>134</v>
      </c>
      <c r="G32" s="294"/>
      <c r="H32" s="290" t="str">
        <f t="shared" si="0"/>
        <v>0</v>
      </c>
      <c r="I32" s="287" t="str">
        <f t="shared" ref="I32:I35" si="4">IF(G32&gt;0,SUM(B32:D32)*G32+H32,"-")</f>
        <v>-</v>
      </c>
      <c r="J32" s="203" t="str">
        <f t="shared" ref="J32:J35" si="5">IF(G32&gt;0,SUM(B32:D32)*G32*$C$11,"-")</f>
        <v>-</v>
      </c>
      <c r="K32" s="203" t="str">
        <f t="shared" ref="K32:K35" si="6">IF(G32&gt;0,I32+J32,"-")</f>
        <v>-</v>
      </c>
      <c r="L32" s="31"/>
      <c r="M32" s="617"/>
      <c r="N32" s="618"/>
      <c r="O32" s="618"/>
      <c r="P32" s="619"/>
      <c r="Q32" s="310"/>
      <c r="R32" s="310"/>
      <c r="S32" s="310"/>
      <c r="T32" s="1"/>
    </row>
    <row r="33" spans="1:20" ht="15" hidden="1" customHeight="1">
      <c r="A33" s="1"/>
      <c r="B33" s="204"/>
      <c r="C33" s="204"/>
      <c r="D33" s="205"/>
      <c r="E33" s="201"/>
      <c r="F33" s="206" t="s">
        <v>134</v>
      </c>
      <c r="G33" s="294"/>
      <c r="H33" s="290" t="str">
        <f t="shared" si="0"/>
        <v>0</v>
      </c>
      <c r="I33" s="287" t="str">
        <f t="shared" si="4"/>
        <v>-</v>
      </c>
      <c r="J33" s="203" t="str">
        <f t="shared" si="5"/>
        <v>-</v>
      </c>
      <c r="K33" s="203" t="str">
        <f t="shared" si="6"/>
        <v>-</v>
      </c>
      <c r="L33" s="31"/>
      <c r="M33" s="617"/>
      <c r="N33" s="618"/>
      <c r="O33" s="618"/>
      <c r="P33" s="619"/>
      <c r="Q33" s="310"/>
      <c r="R33" s="310"/>
      <c r="S33" s="310"/>
      <c r="T33" s="1"/>
    </row>
    <row r="34" spans="1:20" ht="15" hidden="1" customHeight="1">
      <c r="A34" s="1"/>
      <c r="B34" s="207"/>
      <c r="C34" s="207"/>
      <c r="D34" s="208"/>
      <c r="E34" s="209"/>
      <c r="F34" s="206" t="s">
        <v>134</v>
      </c>
      <c r="G34" s="294"/>
      <c r="H34" s="290" t="str">
        <f t="shared" si="0"/>
        <v>0</v>
      </c>
      <c r="I34" s="287" t="str">
        <f t="shared" si="4"/>
        <v>-</v>
      </c>
      <c r="J34" s="203" t="str">
        <f t="shared" si="5"/>
        <v>-</v>
      </c>
      <c r="K34" s="203" t="str">
        <f t="shared" si="6"/>
        <v>-</v>
      </c>
      <c r="L34" s="31"/>
      <c r="M34" s="617"/>
      <c r="N34" s="618"/>
      <c r="O34" s="618"/>
      <c r="P34" s="619"/>
      <c r="Q34" s="310"/>
      <c r="R34" s="310"/>
      <c r="S34" s="310"/>
      <c r="T34" s="1"/>
    </row>
    <row r="35" spans="1:20" ht="15" hidden="1" customHeight="1">
      <c r="A35" s="1"/>
      <c r="B35" s="210"/>
      <c r="C35" s="210"/>
      <c r="D35" s="211"/>
      <c r="E35" s="212"/>
      <c r="F35" s="206" t="s">
        <v>134</v>
      </c>
      <c r="G35" s="294"/>
      <c r="H35" s="290" t="str">
        <f t="shared" si="0"/>
        <v>0</v>
      </c>
      <c r="I35" s="287" t="str">
        <f t="shared" si="4"/>
        <v>-</v>
      </c>
      <c r="J35" s="203" t="str">
        <f t="shared" si="5"/>
        <v>-</v>
      </c>
      <c r="K35" s="203" t="str">
        <f t="shared" si="6"/>
        <v>-</v>
      </c>
      <c r="L35" s="31"/>
      <c r="M35" s="617"/>
      <c r="N35" s="618"/>
      <c r="O35" s="618"/>
      <c r="P35" s="619"/>
      <c r="Q35" s="310"/>
      <c r="R35" s="310"/>
      <c r="S35" s="310"/>
      <c r="T35" s="1"/>
    </row>
    <row r="36" spans="1:20" ht="15" customHeight="1">
      <c r="A36" s="1"/>
      <c r="B36" s="213"/>
      <c r="C36" s="213"/>
      <c r="D36" s="214"/>
      <c r="E36" s="215"/>
      <c r="F36" s="216" t="s">
        <v>134</v>
      </c>
      <c r="G36" s="295"/>
      <c r="H36" s="291" t="str">
        <f t="shared" si="0"/>
        <v>0</v>
      </c>
      <c r="I36" s="288" t="str">
        <f>IF(G36&gt;0,SUM(B36:D36)*G36+H36,"-")</f>
        <v>-</v>
      </c>
      <c r="J36" s="217" t="str">
        <f>IF(G36&gt;0,SUM(B36:D36)*G36*$C$11,"-")</f>
        <v>-</v>
      </c>
      <c r="K36" s="217" t="str">
        <f>IF(G36&gt;0,I36+J36,"-")</f>
        <v>-</v>
      </c>
      <c r="L36" s="31"/>
      <c r="M36" s="617"/>
      <c r="N36" s="618"/>
      <c r="O36" s="618"/>
      <c r="P36" s="619"/>
      <c r="Q36" s="310"/>
      <c r="R36" s="310"/>
      <c r="S36" s="310"/>
      <c r="T36" s="1"/>
    </row>
    <row r="37" spans="1:20" ht="15" customHeight="1">
      <c r="A37" s="1"/>
      <c r="B37" s="32">
        <f>SUM(B17:B36)</f>
        <v>0</v>
      </c>
      <c r="C37" s="32">
        <f>SUM(C17:C36)</f>
        <v>0</v>
      </c>
      <c r="D37" s="32">
        <f>SUM(D17:D36)</f>
        <v>0</v>
      </c>
      <c r="E37" s="33"/>
      <c r="F37" s="642" t="s">
        <v>135</v>
      </c>
      <c r="G37" s="634"/>
      <c r="H37" s="154">
        <f>SUM(H17:H36)</f>
        <v>0</v>
      </c>
      <c r="I37" s="154">
        <f>SUM(I17:I36)</f>
        <v>0</v>
      </c>
      <c r="J37" s="154">
        <f>SUM(J17:J36)</f>
        <v>0</v>
      </c>
      <c r="K37" s="154">
        <f>SUM(K17:K36)</f>
        <v>0</v>
      </c>
      <c r="L37" s="1"/>
      <c r="M37" s="617"/>
      <c r="N37" s="618"/>
      <c r="O37" s="618"/>
      <c r="P37" s="619"/>
      <c r="Q37" s="310"/>
      <c r="R37" s="310"/>
      <c r="S37" s="310"/>
      <c r="T37" s="1"/>
    </row>
    <row r="38" spans="1:20" ht="15" customHeight="1">
      <c r="A38" s="1"/>
      <c r="B38" s="1"/>
      <c r="C38" s="1"/>
      <c r="D38" s="1"/>
      <c r="E38" s="1"/>
      <c r="F38" s="1"/>
      <c r="G38" s="1"/>
      <c r="H38" s="1"/>
      <c r="I38" s="1"/>
      <c r="J38" s="1"/>
      <c r="K38" s="1"/>
      <c r="L38" s="1"/>
      <c r="M38" s="617"/>
      <c r="N38" s="618"/>
      <c r="O38" s="618"/>
      <c r="P38" s="619"/>
      <c r="Q38" s="310"/>
      <c r="R38" s="310"/>
      <c r="S38" s="310"/>
      <c r="T38" s="310"/>
    </row>
    <row r="39" spans="1:20" ht="15" customHeight="1">
      <c r="A39" s="1"/>
      <c r="B39" s="627" t="s">
        <v>136</v>
      </c>
      <c r="C39" s="628"/>
      <c r="D39" s="628"/>
      <c r="E39" s="628"/>
      <c r="F39" s="628"/>
      <c r="G39" s="628"/>
      <c r="H39" s="628"/>
      <c r="I39" s="628"/>
      <c r="J39" s="628"/>
      <c r="K39" s="629"/>
      <c r="L39" s="1"/>
      <c r="M39" s="617"/>
      <c r="N39" s="618"/>
      <c r="O39" s="618"/>
      <c r="P39" s="619"/>
      <c r="Q39" s="310"/>
      <c r="R39" s="310"/>
      <c r="S39" s="310"/>
      <c r="T39" s="310"/>
    </row>
    <row r="40" spans="1:20" ht="15" customHeight="1">
      <c r="A40" s="1"/>
      <c r="B40" s="630"/>
      <c r="C40" s="631"/>
      <c r="D40" s="631"/>
      <c r="E40" s="631"/>
      <c r="F40" s="631"/>
      <c r="G40" s="631"/>
      <c r="H40" s="631"/>
      <c r="I40" s="631"/>
      <c r="J40" s="631"/>
      <c r="K40" s="632"/>
      <c r="L40" s="1"/>
      <c r="M40" s="617"/>
      <c r="N40" s="618"/>
      <c r="O40" s="618"/>
      <c r="P40" s="619"/>
      <c r="Q40" s="310"/>
      <c r="R40" s="310"/>
      <c r="S40" s="310"/>
      <c r="T40" s="310"/>
    </row>
    <row r="41" spans="1:20" ht="30">
      <c r="A41" s="1"/>
      <c r="B41" s="492" t="s">
        <v>121</v>
      </c>
      <c r="C41" s="492" t="s">
        <v>122</v>
      </c>
      <c r="D41" s="492" t="s">
        <v>123</v>
      </c>
      <c r="E41" s="623" t="s">
        <v>124</v>
      </c>
      <c r="F41" s="635" t="s">
        <v>125</v>
      </c>
      <c r="G41" s="625" t="s">
        <v>126</v>
      </c>
      <c r="H41" s="625" t="s">
        <v>127</v>
      </c>
      <c r="I41" s="625" t="s">
        <v>128</v>
      </c>
      <c r="J41" s="625" t="s">
        <v>116</v>
      </c>
      <c r="K41" s="625" t="s">
        <v>129</v>
      </c>
      <c r="L41" s="1"/>
      <c r="M41" s="617"/>
      <c r="N41" s="618"/>
      <c r="O41" s="618"/>
      <c r="P41" s="619"/>
      <c r="Q41" s="310"/>
      <c r="R41" s="310"/>
      <c r="S41" s="310"/>
      <c r="T41" s="310"/>
    </row>
    <row r="42" spans="1:20" ht="30">
      <c r="A42" s="1"/>
      <c r="B42" s="43" t="s">
        <v>131</v>
      </c>
      <c r="C42" s="43" t="s">
        <v>132</v>
      </c>
      <c r="D42" s="43" t="s">
        <v>133</v>
      </c>
      <c r="E42" s="624"/>
      <c r="F42" s="636"/>
      <c r="G42" s="626"/>
      <c r="H42" s="637"/>
      <c r="I42" s="626"/>
      <c r="J42" s="626"/>
      <c r="K42" s="626"/>
      <c r="L42" s="1"/>
      <c r="M42" s="617"/>
      <c r="N42" s="618"/>
      <c r="O42" s="618"/>
      <c r="P42" s="619"/>
      <c r="Q42" s="310"/>
      <c r="R42" s="310"/>
      <c r="S42" s="310"/>
      <c r="T42" s="310"/>
    </row>
    <row r="43" spans="1:20" ht="15" customHeight="1">
      <c r="A43" s="1"/>
      <c r="B43" s="196"/>
      <c r="C43" s="197"/>
      <c r="D43" s="218"/>
      <c r="E43" s="219"/>
      <c r="F43" s="220"/>
      <c r="G43" s="282" t="str">
        <f>IF(ISTEXT(F43), VLOOKUP(F43, Sheet1!$A$2:$B$41,2,FALSE),"-")</f>
        <v>-</v>
      </c>
      <c r="H43" s="289" t="str">
        <f>IF(AND(C43&gt;0,D43&gt;0),(G43*0.08*C43)+(G43*0.1*D43),IF(C43&gt;0,G43*0.08*C43,IF(D43&gt;0,G43*0.1*D43,"0")))</f>
        <v>0</v>
      </c>
      <c r="I43" s="286" t="str">
        <f>IF(ISNONTEXT(G43),SUM(B43:D43)*G43+H43,"-")</f>
        <v>-</v>
      </c>
      <c r="J43" s="200" t="str">
        <f>IF(ISNONTEXT(G43),SUM(B43:D43)*G43*$C$11,"-")</f>
        <v>-</v>
      </c>
      <c r="K43" s="200" t="str">
        <f>IF(ISNONTEXT(G43),I43+J43,"-")</f>
        <v>-</v>
      </c>
      <c r="L43" s="1"/>
      <c r="M43" s="617"/>
      <c r="N43" s="618"/>
      <c r="O43" s="618"/>
      <c r="P43" s="619"/>
      <c r="Q43" s="310"/>
      <c r="R43" s="310"/>
      <c r="S43" s="310"/>
      <c r="T43" s="310"/>
    </row>
    <row r="44" spans="1:20" ht="15" customHeight="1">
      <c r="A44" s="1"/>
      <c r="B44" s="196"/>
      <c r="C44" s="197"/>
      <c r="D44" s="219"/>
      <c r="E44" s="219"/>
      <c r="F44" s="221"/>
      <c r="G44" s="283" t="str">
        <f>IF(ISTEXT(F44), VLOOKUP(F44, Sheet1!$A$2:$B$41,2,FALSE),"-")</f>
        <v>-</v>
      </c>
      <c r="H44" s="290" t="str">
        <f t="shared" ref="H44:H63" si="7">IF(AND(C44&gt;0,D44&gt;0),(G44*0.08*C44)+(G44*0.1*D44),IF(C44&gt;0,G44*0.08*C44,IF(D44&gt;0,G44*0.1*D44,"0")))</f>
        <v>0</v>
      </c>
      <c r="I44" s="287" t="str">
        <f t="shared" ref="I44:I55" si="8">IF(ISNONTEXT(G44),SUM(B44:D44)*G44+H44,"-")</f>
        <v>-</v>
      </c>
      <c r="J44" s="203" t="str">
        <f t="shared" ref="J44:J55" si="9">IF(ISNONTEXT(G44),SUM(B44:D44)*G44*$C$11,"-")</f>
        <v>-</v>
      </c>
      <c r="K44" s="203" t="str">
        <f t="shared" ref="K44:K55" si="10">IF(ISNONTEXT(G44),I44+J44,"-")</f>
        <v>-</v>
      </c>
      <c r="L44" s="1"/>
      <c r="M44" s="617"/>
      <c r="N44" s="618"/>
      <c r="O44" s="618"/>
      <c r="P44" s="619"/>
      <c r="Q44" s="310"/>
      <c r="R44" s="310"/>
      <c r="S44" s="310"/>
      <c r="T44" s="310"/>
    </row>
    <row r="45" spans="1:20" ht="15" customHeight="1">
      <c r="A45" s="1"/>
      <c r="B45" s="196"/>
      <c r="C45" s="197"/>
      <c r="D45" s="219"/>
      <c r="E45" s="219"/>
      <c r="F45" s="221"/>
      <c r="G45" s="283" t="str">
        <f>IF(ISTEXT(F45), VLOOKUP(F45, Sheet1!$A$2:$B$41,2,FALSE),"-")</f>
        <v>-</v>
      </c>
      <c r="H45" s="290" t="str">
        <f t="shared" si="7"/>
        <v>0</v>
      </c>
      <c r="I45" s="287" t="str">
        <f t="shared" si="8"/>
        <v>-</v>
      </c>
      <c r="J45" s="203" t="str">
        <f t="shared" si="9"/>
        <v>-</v>
      </c>
      <c r="K45" s="203" t="str">
        <f t="shared" si="10"/>
        <v>-</v>
      </c>
      <c r="L45" s="1"/>
      <c r="M45" s="617"/>
      <c r="N45" s="618"/>
      <c r="O45" s="618"/>
      <c r="P45" s="619"/>
      <c r="Q45" s="310"/>
      <c r="R45" s="310"/>
      <c r="S45" s="310"/>
      <c r="T45" s="310"/>
    </row>
    <row r="46" spans="1:20" ht="15" customHeight="1">
      <c r="A46" s="1"/>
      <c r="B46" s="196"/>
      <c r="C46" s="197"/>
      <c r="D46" s="219"/>
      <c r="E46" s="219"/>
      <c r="F46" s="221"/>
      <c r="G46" s="283" t="str">
        <f>IF(ISTEXT(F46), VLOOKUP(F46, Sheet1!$A$2:$B$41,2,FALSE),"-")</f>
        <v>-</v>
      </c>
      <c r="H46" s="290" t="str">
        <f t="shared" si="7"/>
        <v>0</v>
      </c>
      <c r="I46" s="287" t="str">
        <f t="shared" si="8"/>
        <v>-</v>
      </c>
      <c r="J46" s="203" t="str">
        <f t="shared" si="9"/>
        <v>-</v>
      </c>
      <c r="K46" s="203" t="str">
        <f t="shared" si="10"/>
        <v>-</v>
      </c>
      <c r="L46" s="1"/>
      <c r="M46" s="617"/>
      <c r="N46" s="618"/>
      <c r="O46" s="618"/>
      <c r="P46" s="619"/>
      <c r="Q46" s="310"/>
      <c r="R46" s="310"/>
      <c r="S46" s="310"/>
      <c r="T46" s="310"/>
    </row>
    <row r="47" spans="1:20" ht="15" customHeight="1">
      <c r="A47" s="1"/>
      <c r="B47" s="196"/>
      <c r="C47" s="197"/>
      <c r="D47" s="219"/>
      <c r="E47" s="219"/>
      <c r="F47" s="221"/>
      <c r="G47" s="283" t="str">
        <f>IF(ISTEXT(F47), VLOOKUP(F47, Sheet1!$A$2:$B$41,2,FALSE),"-")</f>
        <v>-</v>
      </c>
      <c r="H47" s="290" t="str">
        <f t="shared" si="7"/>
        <v>0</v>
      </c>
      <c r="I47" s="287" t="str">
        <f t="shared" si="8"/>
        <v>-</v>
      </c>
      <c r="J47" s="203" t="str">
        <f t="shared" si="9"/>
        <v>-</v>
      </c>
      <c r="K47" s="203" t="str">
        <f t="shared" si="10"/>
        <v>-</v>
      </c>
      <c r="L47" s="1"/>
      <c r="M47" s="617"/>
      <c r="N47" s="618"/>
      <c r="O47" s="618"/>
      <c r="P47" s="619"/>
      <c r="Q47" s="310"/>
      <c r="R47" s="310"/>
      <c r="S47" s="310"/>
      <c r="T47" s="310"/>
    </row>
    <row r="48" spans="1:20" ht="15" hidden="1" customHeight="1">
      <c r="A48" s="1"/>
      <c r="B48" s="196"/>
      <c r="C48" s="197"/>
      <c r="D48" s="219"/>
      <c r="E48" s="219"/>
      <c r="F48" s="221"/>
      <c r="G48" s="283" t="str">
        <f>IF(ISTEXT(F48), VLOOKUP(F48, Sheet1!$A$2:$B$41,2,FALSE),"-")</f>
        <v>-</v>
      </c>
      <c r="H48" s="290" t="str">
        <f t="shared" si="7"/>
        <v>0</v>
      </c>
      <c r="I48" s="287" t="str">
        <f t="shared" si="8"/>
        <v>-</v>
      </c>
      <c r="J48" s="203" t="str">
        <f t="shared" si="9"/>
        <v>-</v>
      </c>
      <c r="K48" s="203" t="str">
        <f t="shared" si="10"/>
        <v>-</v>
      </c>
      <c r="L48" s="1"/>
      <c r="M48" s="617"/>
      <c r="N48" s="618"/>
      <c r="O48" s="618"/>
      <c r="P48" s="619"/>
      <c r="Q48" s="310"/>
      <c r="R48" s="310"/>
      <c r="S48" s="310"/>
      <c r="T48" s="310"/>
    </row>
    <row r="49" spans="1:20" ht="15" hidden="1" customHeight="1">
      <c r="A49" s="1"/>
      <c r="B49" s="196"/>
      <c r="C49" s="197"/>
      <c r="D49" s="219"/>
      <c r="E49" s="219"/>
      <c r="F49" s="221"/>
      <c r="G49" s="283" t="str">
        <f>IF(ISTEXT(F49), VLOOKUP(F49, Sheet1!$A$2:$B$41,2,FALSE),"-")</f>
        <v>-</v>
      </c>
      <c r="H49" s="290" t="str">
        <f t="shared" si="7"/>
        <v>0</v>
      </c>
      <c r="I49" s="287" t="str">
        <f t="shared" si="8"/>
        <v>-</v>
      </c>
      <c r="J49" s="203" t="str">
        <f t="shared" si="9"/>
        <v>-</v>
      </c>
      <c r="K49" s="203" t="str">
        <f t="shared" si="10"/>
        <v>-</v>
      </c>
      <c r="L49" s="1"/>
      <c r="M49" s="617"/>
      <c r="N49" s="618"/>
      <c r="O49" s="618"/>
      <c r="P49" s="619"/>
      <c r="Q49" s="310"/>
      <c r="R49" s="310"/>
      <c r="S49" s="310"/>
      <c r="T49" s="310"/>
    </row>
    <row r="50" spans="1:20" ht="15" hidden="1" customHeight="1">
      <c r="A50" s="1"/>
      <c r="B50" s="196"/>
      <c r="C50" s="197"/>
      <c r="D50" s="219"/>
      <c r="E50" s="219"/>
      <c r="F50" s="221"/>
      <c r="G50" s="283" t="str">
        <f>IF(ISTEXT(F50), VLOOKUP(F50, Sheet1!$A$2:$B$41,2,FALSE),"-")</f>
        <v>-</v>
      </c>
      <c r="H50" s="290" t="str">
        <f t="shared" si="7"/>
        <v>0</v>
      </c>
      <c r="I50" s="287" t="str">
        <f t="shared" si="8"/>
        <v>-</v>
      </c>
      <c r="J50" s="203" t="str">
        <f t="shared" si="9"/>
        <v>-</v>
      </c>
      <c r="K50" s="203" t="str">
        <f t="shared" si="10"/>
        <v>-</v>
      </c>
      <c r="L50" s="1"/>
      <c r="M50" s="617"/>
      <c r="N50" s="618"/>
      <c r="O50" s="618"/>
      <c r="P50" s="619"/>
      <c r="Q50" s="310"/>
      <c r="R50" s="310"/>
      <c r="S50" s="310"/>
      <c r="T50" s="310"/>
    </row>
    <row r="51" spans="1:20" ht="15" hidden="1" customHeight="1">
      <c r="A51" s="1"/>
      <c r="B51" s="196"/>
      <c r="C51" s="197"/>
      <c r="D51" s="219"/>
      <c r="E51" s="219"/>
      <c r="F51" s="221"/>
      <c r="G51" s="283" t="str">
        <f>IF(ISTEXT(F51), VLOOKUP(F51, Sheet1!$A$2:$B$41,2,FALSE),"-")</f>
        <v>-</v>
      </c>
      <c r="H51" s="290" t="str">
        <f t="shared" si="7"/>
        <v>0</v>
      </c>
      <c r="I51" s="287" t="str">
        <f t="shared" si="8"/>
        <v>-</v>
      </c>
      <c r="J51" s="203" t="str">
        <f t="shared" si="9"/>
        <v>-</v>
      </c>
      <c r="K51" s="203" t="str">
        <f t="shared" si="10"/>
        <v>-</v>
      </c>
      <c r="L51" s="1"/>
      <c r="M51" s="617"/>
      <c r="N51" s="618"/>
      <c r="O51" s="618"/>
      <c r="P51" s="619"/>
      <c r="Q51" s="310"/>
      <c r="R51" s="310"/>
      <c r="S51" s="310"/>
      <c r="T51" s="310"/>
    </row>
    <row r="52" spans="1:20" ht="15" hidden="1" customHeight="1">
      <c r="A52" s="1"/>
      <c r="B52" s="196"/>
      <c r="C52" s="197"/>
      <c r="D52" s="219"/>
      <c r="E52" s="219"/>
      <c r="F52" s="221"/>
      <c r="G52" s="283" t="str">
        <f>IF(ISTEXT(F52), VLOOKUP(F52, Sheet1!$A$2:$B$41,2,FALSE),"-")</f>
        <v>-</v>
      </c>
      <c r="H52" s="290" t="str">
        <f t="shared" si="7"/>
        <v>0</v>
      </c>
      <c r="I52" s="287" t="str">
        <f t="shared" si="8"/>
        <v>-</v>
      </c>
      <c r="J52" s="203" t="str">
        <f t="shared" si="9"/>
        <v>-</v>
      </c>
      <c r="K52" s="203" t="str">
        <f t="shared" si="10"/>
        <v>-</v>
      </c>
      <c r="L52" s="1"/>
      <c r="M52" s="617"/>
      <c r="N52" s="618"/>
      <c r="O52" s="618"/>
      <c r="P52" s="619"/>
      <c r="Q52" s="310"/>
      <c r="R52" s="310"/>
      <c r="S52" s="310"/>
      <c r="T52" s="310"/>
    </row>
    <row r="53" spans="1:20" ht="15" hidden="1" customHeight="1">
      <c r="A53" s="1"/>
      <c r="B53" s="196"/>
      <c r="C53" s="197"/>
      <c r="D53" s="219"/>
      <c r="E53" s="219"/>
      <c r="F53" s="221"/>
      <c r="G53" s="283" t="str">
        <f>IF(ISTEXT(F53), VLOOKUP(F53, Sheet1!$A$2:$B$41,2,FALSE),"-")</f>
        <v>-</v>
      </c>
      <c r="H53" s="290" t="str">
        <f t="shared" si="7"/>
        <v>0</v>
      </c>
      <c r="I53" s="287" t="str">
        <f t="shared" si="8"/>
        <v>-</v>
      </c>
      <c r="J53" s="203" t="str">
        <f t="shared" si="9"/>
        <v>-</v>
      </c>
      <c r="K53" s="203" t="str">
        <f t="shared" si="10"/>
        <v>-</v>
      </c>
      <c r="L53" s="1"/>
      <c r="M53" s="617"/>
      <c r="N53" s="618"/>
      <c r="O53" s="618"/>
      <c r="P53" s="619"/>
      <c r="Q53" s="310"/>
      <c r="R53" s="310"/>
      <c r="S53" s="310"/>
      <c r="T53" s="310"/>
    </row>
    <row r="54" spans="1:20" ht="15" hidden="1" customHeight="1">
      <c r="A54" s="1"/>
      <c r="B54" s="196"/>
      <c r="C54" s="197"/>
      <c r="D54" s="219"/>
      <c r="E54" s="219"/>
      <c r="F54" s="221"/>
      <c r="G54" s="283" t="str">
        <f>IF(ISTEXT(F54), VLOOKUP(F54, Sheet1!$A$2:$B$41,2,FALSE),"-")</f>
        <v>-</v>
      </c>
      <c r="H54" s="290" t="str">
        <f t="shared" si="7"/>
        <v>0</v>
      </c>
      <c r="I54" s="287" t="str">
        <f t="shared" si="8"/>
        <v>-</v>
      </c>
      <c r="J54" s="203" t="str">
        <f t="shared" si="9"/>
        <v>-</v>
      </c>
      <c r="K54" s="203" t="str">
        <f t="shared" si="10"/>
        <v>-</v>
      </c>
      <c r="L54" s="1"/>
      <c r="M54" s="617"/>
      <c r="N54" s="618"/>
      <c r="O54" s="618"/>
      <c r="P54" s="619"/>
      <c r="Q54" s="310"/>
      <c r="R54" s="310"/>
      <c r="S54" s="310"/>
      <c r="T54" s="310"/>
    </row>
    <row r="55" spans="1:20" ht="15" hidden="1" customHeight="1">
      <c r="A55" s="1"/>
      <c r="B55" s="196"/>
      <c r="C55" s="197"/>
      <c r="D55" s="219"/>
      <c r="E55" s="219"/>
      <c r="F55" s="221"/>
      <c r="G55" s="283" t="str">
        <f>IF(ISTEXT(F55), VLOOKUP(F55, Sheet1!$A$2:$B$41,2,FALSE),"-")</f>
        <v>-</v>
      </c>
      <c r="H55" s="290" t="str">
        <f t="shared" si="7"/>
        <v>0</v>
      </c>
      <c r="I55" s="287" t="str">
        <f t="shared" si="8"/>
        <v>-</v>
      </c>
      <c r="J55" s="203" t="str">
        <f t="shared" si="9"/>
        <v>-</v>
      </c>
      <c r="K55" s="203" t="str">
        <f t="shared" si="10"/>
        <v>-</v>
      </c>
      <c r="L55" s="1"/>
      <c r="M55" s="617"/>
      <c r="N55" s="618"/>
      <c r="O55" s="618"/>
      <c r="P55" s="619"/>
      <c r="Q55" s="310"/>
      <c r="R55" s="310"/>
      <c r="S55" s="310"/>
      <c r="T55" s="310"/>
    </row>
    <row r="56" spans="1:20" ht="15" hidden="1" customHeight="1">
      <c r="A56" s="1"/>
      <c r="B56" s="196"/>
      <c r="C56" s="197"/>
      <c r="D56" s="219"/>
      <c r="E56" s="219"/>
      <c r="F56" s="221"/>
      <c r="G56" s="283" t="str">
        <f>IF(ISTEXT(F56), VLOOKUP(F56, Sheet1!$A$2:$B$41,2,FALSE),"-")</f>
        <v>-</v>
      </c>
      <c r="H56" s="290" t="str">
        <f t="shared" si="7"/>
        <v>0</v>
      </c>
      <c r="I56" s="287" t="str">
        <f>IF(ISNONTEXT(G56),SUM(B56:D56)*G56+H56,"-")</f>
        <v>-</v>
      </c>
      <c r="J56" s="203" t="str">
        <f>IF(ISNONTEXT(G56),SUM(B56:D56)*G56*$C$11,"-")</f>
        <v>-</v>
      </c>
      <c r="K56" s="203" t="str">
        <f>IF(ISNONTEXT(G56),I56+J56,"-")</f>
        <v>-</v>
      </c>
      <c r="L56" s="1"/>
      <c r="M56" s="617"/>
      <c r="N56" s="618"/>
      <c r="O56" s="618"/>
      <c r="P56" s="619"/>
      <c r="Q56" s="310"/>
      <c r="R56" s="310"/>
      <c r="S56" s="310"/>
      <c r="T56" s="310"/>
    </row>
    <row r="57" spans="1:20" ht="15" hidden="1" customHeight="1">
      <c r="A57" s="1"/>
      <c r="B57" s="196"/>
      <c r="C57" s="197"/>
      <c r="D57" s="219"/>
      <c r="E57" s="219"/>
      <c r="F57" s="221"/>
      <c r="G57" s="283" t="str">
        <f>IF(ISTEXT(F57), VLOOKUP(F57, Sheet1!$A$2:$B$41,2,FALSE),"-")</f>
        <v>-</v>
      </c>
      <c r="H57" s="290" t="str">
        <f t="shared" si="7"/>
        <v>0</v>
      </c>
      <c r="I57" s="287" t="str">
        <f>IF(ISNONTEXT(G57),SUM(B57:D57)*G57+H57,"-")</f>
        <v>-</v>
      </c>
      <c r="J57" s="203" t="str">
        <f>IF(ISNONTEXT(G57),SUM(B57:D57)*G57*$C$11,"-")</f>
        <v>-</v>
      </c>
      <c r="K57" s="203" t="str">
        <f>IF(ISNONTEXT(G57),I57+J57,"-")</f>
        <v>-</v>
      </c>
      <c r="L57" s="1"/>
      <c r="M57" s="617"/>
      <c r="N57" s="618"/>
      <c r="O57" s="618"/>
      <c r="P57" s="619"/>
      <c r="Q57" s="310"/>
      <c r="R57" s="310"/>
      <c r="S57" s="310"/>
      <c r="T57" s="310"/>
    </row>
    <row r="58" spans="1:20" ht="15" hidden="1" customHeight="1">
      <c r="A58" s="1"/>
      <c r="B58" s="196"/>
      <c r="C58" s="197"/>
      <c r="D58" s="219"/>
      <c r="E58" s="219"/>
      <c r="F58" s="221"/>
      <c r="G58" s="283" t="str">
        <f>IF(ISTEXT(F58), VLOOKUP(F58, Sheet1!$A$2:$B$41,2,FALSE),"-")</f>
        <v>-</v>
      </c>
      <c r="H58" s="290" t="str">
        <f t="shared" si="7"/>
        <v>0</v>
      </c>
      <c r="I58" s="287" t="str">
        <f t="shared" ref="I58" si="11">IF(ISNONTEXT(G58),SUM(B58:D58)*G58+H58,"-")</f>
        <v>-</v>
      </c>
      <c r="J58" s="203" t="str">
        <f t="shared" ref="J58" si="12">IF(ISNONTEXT(G58),SUM(B58:D58)*G58*$C$11,"-")</f>
        <v>-</v>
      </c>
      <c r="K58" s="203" t="str">
        <f t="shared" ref="K58" si="13">IF(ISNONTEXT(G58),I58+J58,"-")</f>
        <v>-</v>
      </c>
      <c r="L58" s="1"/>
      <c r="M58" s="617"/>
      <c r="N58" s="618"/>
      <c r="O58" s="618"/>
      <c r="P58" s="619"/>
      <c r="Q58" s="310"/>
      <c r="R58" s="310"/>
      <c r="S58" s="310"/>
      <c r="T58" s="310"/>
    </row>
    <row r="59" spans="1:20" ht="15" hidden="1" customHeight="1">
      <c r="A59" s="1"/>
      <c r="B59" s="196"/>
      <c r="C59" s="197"/>
      <c r="D59" s="219"/>
      <c r="E59" s="219"/>
      <c r="F59" s="206" t="s">
        <v>134</v>
      </c>
      <c r="G59" s="284"/>
      <c r="H59" s="290" t="str">
        <f t="shared" si="7"/>
        <v>0</v>
      </c>
      <c r="I59" s="287" t="str">
        <f t="shared" ref="I59:I62" si="14">IF(G59&gt;0,SUM(B59:D59)*G59+H59,"-")</f>
        <v>-</v>
      </c>
      <c r="J59" s="203" t="str">
        <f t="shared" ref="J59:J62" si="15">IF(G59&gt;0,SUM(B59:D59)*G59*$C$11,"-")</f>
        <v>-</v>
      </c>
      <c r="K59" s="203" t="str">
        <f t="shared" ref="K59:K62" si="16">IF(G59&gt;0,I59+J59,"-")</f>
        <v>-</v>
      </c>
      <c r="L59" s="1"/>
      <c r="M59" s="617"/>
      <c r="N59" s="618"/>
      <c r="O59" s="618"/>
      <c r="P59" s="619"/>
      <c r="Q59" s="310"/>
      <c r="R59" s="310"/>
      <c r="S59" s="310"/>
      <c r="T59" s="310"/>
    </row>
    <row r="60" spans="1:20" ht="15" hidden="1" customHeight="1">
      <c r="A60" s="1"/>
      <c r="B60" s="196"/>
      <c r="C60" s="197"/>
      <c r="D60" s="219"/>
      <c r="E60" s="219"/>
      <c r="F60" s="206" t="s">
        <v>134</v>
      </c>
      <c r="G60" s="284"/>
      <c r="H60" s="290" t="str">
        <f t="shared" si="7"/>
        <v>0</v>
      </c>
      <c r="I60" s="287" t="str">
        <f t="shared" si="14"/>
        <v>-</v>
      </c>
      <c r="J60" s="203" t="str">
        <f t="shared" si="15"/>
        <v>-</v>
      </c>
      <c r="K60" s="203" t="str">
        <f t="shared" si="16"/>
        <v>-</v>
      </c>
      <c r="L60" s="1"/>
      <c r="M60" s="617"/>
      <c r="N60" s="618"/>
      <c r="O60" s="618"/>
      <c r="P60" s="619"/>
      <c r="Q60" s="310"/>
      <c r="R60" s="310"/>
      <c r="S60" s="310"/>
      <c r="T60" s="310"/>
    </row>
    <row r="61" spans="1:20" ht="15" hidden="1" customHeight="1">
      <c r="A61" s="1"/>
      <c r="B61" s="196"/>
      <c r="C61" s="197"/>
      <c r="D61" s="219"/>
      <c r="E61" s="219"/>
      <c r="F61" s="206" t="s">
        <v>134</v>
      </c>
      <c r="G61" s="284"/>
      <c r="H61" s="290" t="str">
        <f t="shared" si="7"/>
        <v>0</v>
      </c>
      <c r="I61" s="287" t="str">
        <f t="shared" si="14"/>
        <v>-</v>
      </c>
      <c r="J61" s="203" t="str">
        <f t="shared" si="15"/>
        <v>-</v>
      </c>
      <c r="K61" s="203" t="str">
        <f t="shared" si="16"/>
        <v>-</v>
      </c>
      <c r="L61" s="1"/>
      <c r="M61" s="617"/>
      <c r="N61" s="618"/>
      <c r="O61" s="618"/>
      <c r="P61" s="619"/>
      <c r="Q61" s="310"/>
      <c r="R61" s="310"/>
      <c r="S61" s="310"/>
      <c r="T61" s="310"/>
    </row>
    <row r="62" spans="1:20" ht="15" hidden="1" customHeight="1">
      <c r="A62" s="1"/>
      <c r="B62" s="196"/>
      <c r="C62" s="197"/>
      <c r="D62" s="222"/>
      <c r="E62" s="222"/>
      <c r="F62" s="206" t="s">
        <v>134</v>
      </c>
      <c r="G62" s="284"/>
      <c r="H62" s="290" t="str">
        <f t="shared" si="7"/>
        <v>0</v>
      </c>
      <c r="I62" s="287" t="str">
        <f t="shared" si="14"/>
        <v>-</v>
      </c>
      <c r="J62" s="203" t="str">
        <f t="shared" si="15"/>
        <v>-</v>
      </c>
      <c r="K62" s="203" t="str">
        <f t="shared" si="16"/>
        <v>-</v>
      </c>
      <c r="L62" s="1"/>
      <c r="M62" s="617"/>
      <c r="N62" s="618"/>
      <c r="O62" s="618"/>
      <c r="P62" s="619"/>
      <c r="Q62" s="310"/>
      <c r="R62" s="310"/>
      <c r="S62" s="310"/>
      <c r="T62" s="310"/>
    </row>
    <row r="63" spans="1:20" ht="15" customHeight="1">
      <c r="A63" s="1"/>
      <c r="B63" s="213"/>
      <c r="C63" s="214"/>
      <c r="D63" s="223"/>
      <c r="E63" s="224"/>
      <c r="F63" s="216" t="s">
        <v>134</v>
      </c>
      <c r="G63" s="285"/>
      <c r="H63" s="291" t="str">
        <f t="shared" si="7"/>
        <v>0</v>
      </c>
      <c r="I63" s="288" t="str">
        <f>IF(G63&gt;0,SUM(B63:D63)*G63+H63,"-")</f>
        <v>-</v>
      </c>
      <c r="J63" s="217" t="str">
        <f>IF(G63&gt;0,SUM(B63:D63)*G63*$C$11,"-")</f>
        <v>-</v>
      </c>
      <c r="K63" s="217" t="str">
        <f>IF(G63&gt;0,I63+J63,"-")</f>
        <v>-</v>
      </c>
      <c r="L63" s="1"/>
      <c r="M63" s="617"/>
      <c r="N63" s="618"/>
      <c r="O63" s="618"/>
      <c r="P63" s="619"/>
      <c r="Q63" s="310"/>
      <c r="R63" s="310"/>
      <c r="S63" s="310"/>
      <c r="T63" s="310"/>
    </row>
    <row r="64" spans="1:20" ht="15" customHeight="1">
      <c r="A64" s="1"/>
      <c r="B64" s="32">
        <f>SUM(B43:B63)</f>
        <v>0</v>
      </c>
      <c r="C64" s="32">
        <f>SUM(C43:C63)</f>
        <v>0</v>
      </c>
      <c r="D64" s="32">
        <f>SUM(D43:D63)</f>
        <v>0</v>
      </c>
      <c r="E64" s="35"/>
      <c r="F64" s="633" t="s">
        <v>135</v>
      </c>
      <c r="G64" s="634"/>
      <c r="H64" s="34">
        <f>SUM(H43:H63)</f>
        <v>0</v>
      </c>
      <c r="I64" s="34">
        <f>SUM(I43:I63)</f>
        <v>0</v>
      </c>
      <c r="J64" s="34">
        <f>SUM(J43:J63)</f>
        <v>0</v>
      </c>
      <c r="K64" s="34">
        <f>SUM(K43:K63)</f>
        <v>0</v>
      </c>
      <c r="L64" s="1"/>
      <c r="M64" s="620"/>
      <c r="N64" s="621"/>
      <c r="O64" s="621"/>
      <c r="P64" s="622"/>
      <c r="Q64" s="310"/>
      <c r="R64" s="310"/>
      <c r="S64" s="310"/>
      <c r="T64" s="310"/>
    </row>
    <row r="65" spans="1:20">
      <c r="A65" s="1"/>
      <c r="B65" s="1"/>
      <c r="C65" s="1"/>
      <c r="D65" s="1"/>
      <c r="E65" s="1"/>
      <c r="F65" s="1"/>
      <c r="G65" s="1"/>
      <c r="H65" s="1"/>
      <c r="I65" s="1"/>
      <c r="J65" s="1"/>
      <c r="K65" s="1"/>
      <c r="L65" s="1"/>
      <c r="M65" s="310"/>
      <c r="N65" s="310"/>
      <c r="O65" s="310"/>
      <c r="P65" s="310"/>
      <c r="Q65" s="310"/>
      <c r="R65" s="310"/>
      <c r="S65" s="310"/>
      <c r="T65" s="310"/>
    </row>
    <row r="66" spans="1:20">
      <c r="A66" s="1"/>
      <c r="B66" s="1"/>
      <c r="C66" s="1"/>
      <c r="D66" s="1"/>
      <c r="E66" s="1"/>
      <c r="F66" s="1"/>
      <c r="G66" s="1"/>
      <c r="H66" s="1"/>
      <c r="I66" s="1"/>
      <c r="J66" s="1"/>
      <c r="K66" s="1"/>
      <c r="L66" s="1"/>
      <c r="M66" s="310"/>
      <c r="N66" s="310"/>
      <c r="O66" s="310"/>
      <c r="P66" s="310"/>
      <c r="Q66" s="310"/>
      <c r="R66" s="310"/>
      <c r="S66" s="310"/>
      <c r="T66" s="310"/>
    </row>
    <row r="67" spans="1:20">
      <c r="A67" s="1"/>
      <c r="B67" s="310"/>
      <c r="C67" s="310"/>
      <c r="D67" s="310"/>
      <c r="E67" s="310"/>
      <c r="F67" s="310"/>
      <c r="G67" s="310"/>
      <c r="H67" s="310"/>
      <c r="I67" s="310"/>
      <c r="J67" s="310"/>
      <c r="K67" s="310"/>
      <c r="L67" s="310"/>
      <c r="M67" s="310"/>
      <c r="N67" s="310"/>
      <c r="O67" s="310"/>
      <c r="P67" s="310"/>
      <c r="Q67" s="310"/>
      <c r="R67" s="310"/>
      <c r="S67" s="310"/>
      <c r="T67" s="310"/>
    </row>
    <row r="68" spans="1:20" ht="15" customHeight="1">
      <c r="A68" s="310"/>
      <c r="B68" s="310"/>
      <c r="C68" s="310"/>
      <c r="D68" s="310"/>
      <c r="E68" s="310"/>
      <c r="F68" s="310"/>
      <c r="G68" s="310"/>
      <c r="H68" s="310"/>
      <c r="I68" s="310"/>
      <c r="J68" s="310"/>
      <c r="K68" s="310"/>
      <c r="L68" s="310"/>
      <c r="M68" s="310"/>
      <c r="N68" s="310"/>
      <c r="O68" s="310"/>
      <c r="P68" s="310"/>
      <c r="Q68" s="310"/>
      <c r="R68" s="310"/>
      <c r="S68" s="310"/>
      <c r="T68" s="310"/>
    </row>
    <row r="69" spans="1:20" ht="15" customHeight="1">
      <c r="A69" s="310"/>
      <c r="B69" s="310"/>
      <c r="C69" s="310"/>
      <c r="D69" s="310"/>
      <c r="E69" s="310"/>
      <c r="F69" s="310"/>
      <c r="G69" s="310"/>
      <c r="H69" s="310"/>
      <c r="I69" s="310"/>
      <c r="J69" s="310"/>
      <c r="K69" s="310"/>
      <c r="L69" s="310"/>
      <c r="M69" s="310"/>
      <c r="N69" s="310"/>
      <c r="O69" s="310"/>
      <c r="P69" s="310"/>
      <c r="Q69" s="310"/>
      <c r="R69" s="310"/>
      <c r="S69" s="310"/>
      <c r="T69" s="310"/>
    </row>
    <row r="70" spans="1:20" ht="15" customHeight="1">
      <c r="A70" s="310"/>
      <c r="B70" s="310"/>
      <c r="C70" s="310"/>
      <c r="D70" s="310"/>
      <c r="E70" s="310"/>
      <c r="F70" s="310"/>
      <c r="G70" s="310"/>
      <c r="H70" s="310"/>
      <c r="I70" s="310"/>
      <c r="J70" s="310"/>
      <c r="K70" s="310"/>
      <c r="L70" s="310"/>
      <c r="M70" s="310"/>
      <c r="N70" s="310"/>
      <c r="O70" s="310"/>
      <c r="P70" s="310"/>
      <c r="Q70" s="310"/>
      <c r="R70" s="310"/>
      <c r="S70" s="310"/>
      <c r="T70" s="310"/>
    </row>
    <row r="71" spans="1:20" ht="15" customHeight="1">
      <c r="A71" s="310"/>
      <c r="B71" s="310"/>
      <c r="C71" s="310"/>
      <c r="D71" s="310"/>
      <c r="E71" s="310"/>
      <c r="F71" s="310"/>
      <c r="G71" s="310"/>
      <c r="H71" s="310"/>
      <c r="I71" s="310"/>
      <c r="J71" s="310"/>
      <c r="K71" s="310"/>
      <c r="L71" s="310"/>
      <c r="M71" s="310"/>
      <c r="N71" s="310"/>
      <c r="O71" s="310"/>
      <c r="P71" s="310"/>
      <c r="Q71" s="310"/>
      <c r="R71" s="310"/>
      <c r="S71" s="310"/>
      <c r="T71" s="310"/>
    </row>
    <row r="72" spans="1:20" ht="15" customHeight="1">
      <c r="A72" s="310"/>
      <c r="B72" s="310"/>
      <c r="C72" s="310"/>
      <c r="D72" s="310"/>
      <c r="E72" s="310"/>
      <c r="F72" s="310"/>
      <c r="G72" s="310"/>
      <c r="H72" s="310"/>
      <c r="I72" s="310"/>
      <c r="J72" s="310"/>
      <c r="K72" s="310"/>
      <c r="L72" s="310"/>
      <c r="M72" s="310"/>
      <c r="N72" s="310"/>
      <c r="O72" s="310"/>
      <c r="P72" s="310"/>
      <c r="Q72" s="310"/>
      <c r="R72" s="310"/>
      <c r="S72" s="310"/>
      <c r="T72" s="310"/>
    </row>
    <row r="73" spans="1:20" ht="15" customHeight="1">
      <c r="A73" s="310"/>
      <c r="B73" s="310"/>
      <c r="C73" s="310"/>
      <c r="D73" s="310"/>
      <c r="E73" s="310"/>
      <c r="F73" s="310"/>
      <c r="G73" s="310"/>
      <c r="H73" s="310"/>
      <c r="I73" s="310"/>
      <c r="J73" s="310"/>
      <c r="K73" s="310"/>
      <c r="L73" s="310"/>
      <c r="M73" s="310"/>
      <c r="N73" s="310"/>
      <c r="O73" s="310"/>
      <c r="P73" s="310"/>
      <c r="Q73" s="310"/>
      <c r="R73" s="310"/>
      <c r="S73" s="310"/>
      <c r="T73" s="310"/>
    </row>
    <row r="74" spans="1:20" ht="15" customHeight="1">
      <c r="A74" s="310"/>
      <c r="B74" s="310"/>
      <c r="C74" s="310"/>
      <c r="D74" s="310"/>
      <c r="E74" s="310"/>
      <c r="F74" s="310"/>
      <c r="G74" s="310"/>
      <c r="H74" s="310"/>
      <c r="I74" s="310"/>
      <c r="J74" s="310"/>
      <c r="K74" s="310"/>
      <c r="L74" s="310"/>
      <c r="M74" s="310"/>
      <c r="N74" s="310"/>
      <c r="O74" s="310"/>
      <c r="P74" s="310"/>
      <c r="Q74" s="310"/>
      <c r="R74" s="310"/>
      <c r="S74" s="310"/>
      <c r="T74" s="310"/>
    </row>
    <row r="75" spans="1:20" ht="15" customHeight="1">
      <c r="A75" s="310"/>
      <c r="B75" s="310"/>
      <c r="C75" s="310"/>
      <c r="D75" s="310"/>
      <c r="E75" s="310"/>
      <c r="F75" s="310"/>
      <c r="G75" s="310"/>
      <c r="H75" s="310"/>
      <c r="I75" s="310"/>
      <c r="J75" s="310"/>
      <c r="K75" s="310"/>
      <c r="L75" s="310"/>
      <c r="M75" s="310"/>
      <c r="N75" s="310"/>
      <c r="O75" s="310"/>
      <c r="P75" s="310"/>
      <c r="Q75" s="310"/>
      <c r="R75" s="310"/>
      <c r="S75" s="310"/>
      <c r="T75" s="310"/>
    </row>
    <row r="76" spans="1:20" ht="15" customHeight="1">
      <c r="A76" s="310"/>
      <c r="B76" s="310"/>
      <c r="C76" s="310"/>
      <c r="D76" s="310"/>
      <c r="E76" s="310"/>
      <c r="F76" s="310"/>
      <c r="G76" s="310"/>
      <c r="H76" s="310"/>
      <c r="I76" s="310"/>
      <c r="J76" s="310"/>
      <c r="K76" s="310"/>
      <c r="L76" s="310"/>
      <c r="M76" s="310"/>
      <c r="N76" s="310"/>
      <c r="O76" s="310"/>
      <c r="P76" s="310"/>
      <c r="Q76" s="310"/>
      <c r="R76" s="310"/>
      <c r="S76" s="310"/>
      <c r="T76" s="310"/>
    </row>
    <row r="77" spans="1:20" ht="15" customHeight="1">
      <c r="A77" s="310"/>
      <c r="B77" s="310"/>
      <c r="C77" s="310"/>
      <c r="D77" s="310"/>
      <c r="E77" s="310"/>
      <c r="F77" s="310"/>
      <c r="G77" s="310"/>
      <c r="H77" s="310"/>
      <c r="I77" s="310"/>
      <c r="J77" s="310"/>
      <c r="K77" s="310"/>
      <c r="L77" s="310"/>
      <c r="M77" s="310"/>
      <c r="N77" s="310"/>
      <c r="O77" s="310"/>
      <c r="P77" s="310"/>
      <c r="Q77" s="310"/>
      <c r="R77" s="310"/>
      <c r="S77" s="310"/>
      <c r="T77" s="310"/>
    </row>
    <row r="78" spans="1:20" ht="15" customHeight="1">
      <c r="A78" s="310"/>
      <c r="B78" s="310"/>
      <c r="C78" s="310"/>
      <c r="D78" s="310"/>
      <c r="E78" s="310"/>
      <c r="F78" s="310"/>
      <c r="G78" s="310"/>
      <c r="H78" s="310"/>
      <c r="I78" s="310"/>
      <c r="J78" s="310"/>
      <c r="K78" s="310"/>
      <c r="L78" s="310"/>
      <c r="M78" s="310"/>
      <c r="N78" s="310"/>
      <c r="O78" s="310"/>
      <c r="P78" s="310"/>
      <c r="Q78" s="310"/>
      <c r="R78" s="310"/>
      <c r="S78" s="310"/>
      <c r="T78" s="310"/>
    </row>
    <row r="79" spans="1:20" ht="15" customHeight="1">
      <c r="A79" s="310"/>
      <c r="B79" s="310"/>
      <c r="C79" s="310"/>
      <c r="D79" s="310"/>
      <c r="E79" s="310"/>
      <c r="F79" s="310"/>
      <c r="G79" s="310"/>
      <c r="H79" s="310"/>
      <c r="I79" s="310"/>
      <c r="J79" s="310"/>
      <c r="K79" s="310"/>
      <c r="L79" s="310"/>
      <c r="M79" s="310"/>
      <c r="N79" s="310"/>
      <c r="O79" s="310"/>
      <c r="P79" s="310"/>
      <c r="Q79" s="310"/>
      <c r="R79" s="310"/>
      <c r="S79" s="310"/>
      <c r="T79" s="310"/>
    </row>
    <row r="80" spans="1:20" ht="15" customHeight="1">
      <c r="A80" s="310"/>
      <c r="B80" s="310"/>
      <c r="C80" s="310"/>
      <c r="D80" s="310"/>
      <c r="E80" s="310"/>
      <c r="F80" s="310"/>
      <c r="G80" s="310"/>
      <c r="H80" s="310"/>
      <c r="I80" s="310"/>
      <c r="J80" s="310"/>
      <c r="K80" s="310"/>
      <c r="L80" s="310"/>
      <c r="M80" s="310"/>
      <c r="N80" s="310"/>
      <c r="O80" s="310"/>
      <c r="P80" s="310"/>
      <c r="Q80" s="310"/>
      <c r="R80" s="310"/>
      <c r="S80" s="310"/>
      <c r="T80" s="310"/>
    </row>
  </sheetData>
  <sheetProtection sheet="1" objects="1" scenarios="1"/>
  <mergeCells count="24">
    <mergeCell ref="A2:T2"/>
    <mergeCell ref="A1:T1"/>
    <mergeCell ref="E41:E42"/>
    <mergeCell ref="F41:F42"/>
    <mergeCell ref="G41:G42"/>
    <mergeCell ref="H41:H42"/>
    <mergeCell ref="I41:I42"/>
    <mergeCell ref="J41:J42"/>
    <mergeCell ref="C10:D10"/>
    <mergeCell ref="C11:D11"/>
    <mergeCell ref="F37:G37"/>
    <mergeCell ref="K15:K16"/>
    <mergeCell ref="B13:K14"/>
    <mergeCell ref="F15:F16"/>
    <mergeCell ref="G15:G16"/>
    <mergeCell ref="H15:H16"/>
    <mergeCell ref="M13:P14"/>
    <mergeCell ref="M15:P64"/>
    <mergeCell ref="E15:E16"/>
    <mergeCell ref="I15:I16"/>
    <mergeCell ref="J15:J16"/>
    <mergeCell ref="B39:K40"/>
    <mergeCell ref="F64:G64"/>
    <mergeCell ref="K41:K42"/>
  </mergeCells>
  <pageMargins left="0.7" right="0.7" top="0.75" bottom="0.75" header="0.3" footer="0.3"/>
  <pageSetup scale="91"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F7EECD05-F5FF-407D-B9DC-CEBBF42A4A43}">
          <x14:formula1>
            <xm:f>'Current Equipment (Replacing)'!$A$12:$A$16</xm:f>
          </x14:formula1>
          <xm:sqref>E17:E36</xm:sqref>
        </x14:dataValidation>
        <x14:dataValidation type="list" allowBlank="1" showInputMessage="1" showErrorMessage="1" xr:uid="{73C17C4B-4ED2-4057-AF4A-B1767FC97E00}">
          <x14:formula1>
            <xm:f>'Proposed Equipment'!$A$8:$A$12</xm:f>
          </x14:formula1>
          <xm:sqref>E43:E63</xm:sqref>
        </x14:dataValidation>
        <x14:dataValidation type="list" allowBlank="1" showInputMessage="1" showErrorMessage="1" xr:uid="{F9FAA85A-BAF9-455C-95F1-93FA2E9C3306}">
          <x14:formula1>
            <xm:f>Sheet1!$A$2:$A$41</xm:f>
          </x14:formula1>
          <xm:sqref>F17:F31 F43:F58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16ACD-B683-457E-BFB6-9118FB6A1CF8}">
  <dimension ref="A1:T78"/>
  <sheetViews>
    <sheetView tabSelected="1" zoomScale="93" workbookViewId="0">
      <selection activeCell="D8" sqref="D8"/>
    </sheetView>
  </sheetViews>
  <sheetFormatPr defaultRowHeight="14.25"/>
  <cols>
    <col min="1" max="1" width="13.85546875" style="42" customWidth="1"/>
    <col min="2" max="2" width="44.28515625" style="42" customWidth="1"/>
    <col min="3" max="3" width="19.5703125" style="42" customWidth="1"/>
    <col min="4" max="4" width="20.140625" style="42" customWidth="1"/>
    <col min="5" max="5" width="20.42578125" style="42" customWidth="1"/>
    <col min="6" max="6" width="17.85546875" style="42" customWidth="1"/>
    <col min="7" max="7" width="20" style="42" bestFit="1" customWidth="1"/>
    <col min="8" max="8" width="17" style="42" customWidth="1"/>
    <col min="9" max="9" width="13" style="42" customWidth="1"/>
    <col min="10" max="16384" width="9.140625" style="42"/>
  </cols>
  <sheetData>
    <row r="1" spans="1:20" ht="25.5" customHeight="1">
      <c r="A1" s="598" t="s">
        <v>21</v>
      </c>
      <c r="B1" s="599"/>
      <c r="C1" s="599"/>
      <c r="D1" s="599"/>
      <c r="E1" s="599"/>
      <c r="F1" s="599"/>
      <c r="G1" s="599"/>
      <c r="H1" s="599"/>
      <c r="I1" s="600"/>
      <c r="J1" s="429"/>
      <c r="K1" s="429"/>
      <c r="L1" s="429"/>
      <c r="M1" s="429"/>
      <c r="N1" s="429"/>
      <c r="O1" s="429"/>
      <c r="P1" s="429"/>
      <c r="Q1" s="429"/>
      <c r="R1" s="429"/>
      <c r="S1" s="429"/>
      <c r="T1" s="429"/>
    </row>
    <row r="2" spans="1:20" ht="15.75">
      <c r="A2" s="670" t="s">
        <v>1</v>
      </c>
      <c r="B2" s="671"/>
      <c r="C2" s="671"/>
      <c r="D2" s="671"/>
      <c r="E2" s="671"/>
      <c r="F2" s="671"/>
      <c r="G2" s="671"/>
      <c r="H2" s="671"/>
      <c r="I2" s="672"/>
      <c r="J2" s="429"/>
      <c r="K2" s="429"/>
      <c r="L2" s="429"/>
      <c r="M2" s="429"/>
      <c r="N2" s="429"/>
      <c r="O2" s="429"/>
      <c r="P2" s="429"/>
      <c r="Q2" s="429"/>
      <c r="R2" s="429"/>
      <c r="S2" s="429"/>
      <c r="T2" s="429"/>
    </row>
    <row r="3" spans="1:20" ht="15">
      <c r="A3" s="44"/>
      <c r="B3" s="44"/>
      <c r="C3" s="45"/>
      <c r="D3" s="45"/>
      <c r="E3" s="45"/>
      <c r="F3" s="45"/>
      <c r="G3" s="45"/>
      <c r="H3" s="45"/>
      <c r="I3" s="45"/>
      <c r="J3" s="20"/>
      <c r="K3" s="20"/>
      <c r="L3" s="20"/>
      <c r="M3" s="20"/>
      <c r="N3" s="20"/>
      <c r="O3" s="20"/>
      <c r="P3" s="20"/>
      <c r="Q3" s="20"/>
      <c r="R3" s="20"/>
      <c r="S3" s="20"/>
      <c r="T3" s="20"/>
    </row>
    <row r="4" spans="1:20" ht="30" customHeight="1">
      <c r="A4" s="655" t="s">
        <v>137</v>
      </c>
      <c r="B4" s="657"/>
      <c r="C4" s="657"/>
      <c r="D4" s="656"/>
      <c r="E4" s="45"/>
      <c r="F4" s="45"/>
      <c r="G4" s="45"/>
      <c r="H4" s="45"/>
      <c r="I4" s="45"/>
      <c r="J4" s="608" t="s">
        <v>138</v>
      </c>
      <c r="K4" s="609"/>
      <c r="L4" s="609"/>
      <c r="M4" s="609"/>
      <c r="N4" s="609"/>
      <c r="O4" s="609"/>
      <c r="P4" s="609"/>
      <c r="Q4" s="610"/>
      <c r="R4" s="20"/>
      <c r="S4" s="20"/>
      <c r="T4" s="20"/>
    </row>
    <row r="5" spans="1:20" s="78" customFormat="1" ht="30.75" customHeight="1">
      <c r="A5" s="655" t="s">
        <v>69</v>
      </c>
      <c r="B5" s="656"/>
      <c r="C5" s="54" t="s">
        <v>3</v>
      </c>
      <c r="D5" s="497" t="s">
        <v>4</v>
      </c>
      <c r="E5" s="667" t="s">
        <v>139</v>
      </c>
      <c r="F5" s="668"/>
      <c r="G5" s="668"/>
      <c r="H5" s="669"/>
      <c r="I5" s="58"/>
      <c r="J5" s="614" t="s">
        <v>140</v>
      </c>
      <c r="K5" s="615"/>
      <c r="L5" s="615"/>
      <c r="M5" s="615"/>
      <c r="N5" s="615"/>
      <c r="O5" s="615"/>
      <c r="P5" s="615"/>
      <c r="Q5" s="616"/>
      <c r="R5" s="59"/>
      <c r="S5" s="59"/>
      <c r="T5" s="59"/>
    </row>
    <row r="6" spans="1:20" s="78" customFormat="1" ht="30" customHeight="1">
      <c r="A6" s="651" t="s">
        <v>141</v>
      </c>
      <c r="B6" s="652"/>
      <c r="C6" s="48"/>
      <c r="D6" s="48"/>
      <c r="E6" s="658"/>
      <c r="F6" s="659"/>
      <c r="G6" s="659"/>
      <c r="H6" s="660"/>
      <c r="I6" s="58"/>
      <c r="J6" s="617"/>
      <c r="K6" s="618"/>
      <c r="L6" s="618"/>
      <c r="M6" s="618"/>
      <c r="N6" s="618"/>
      <c r="O6" s="618"/>
      <c r="P6" s="618"/>
      <c r="Q6" s="619"/>
      <c r="R6" s="59"/>
      <c r="S6" s="59"/>
      <c r="T6" s="59"/>
    </row>
    <row r="7" spans="1:20" s="78" customFormat="1" ht="30" customHeight="1">
      <c r="A7" s="649" t="s">
        <v>142</v>
      </c>
      <c r="B7" s="650"/>
      <c r="C7" s="418">
        <f>SUM('Current Equipment (Replacing)'!K21:K25)</f>
        <v>0</v>
      </c>
      <c r="D7" s="419">
        <f>SUM('Proposed Equipment'!R8:R12)</f>
        <v>0</v>
      </c>
      <c r="E7" s="661"/>
      <c r="F7" s="662"/>
      <c r="G7" s="662"/>
      <c r="H7" s="663"/>
      <c r="I7" s="58"/>
      <c r="J7" s="617"/>
      <c r="K7" s="618"/>
      <c r="L7" s="618"/>
      <c r="M7" s="618"/>
      <c r="N7" s="618"/>
      <c r="O7" s="618"/>
      <c r="P7" s="618"/>
      <c r="Q7" s="619"/>
      <c r="R7" s="59"/>
      <c r="S7" s="59"/>
      <c r="T7" s="59"/>
    </row>
    <row r="8" spans="1:20" s="78" customFormat="1" ht="30" customHeight="1">
      <c r="A8" s="653" t="str" cm="1">
        <f t="array" ref="A8">IFERROR(_xlfn.IFS('Current Equipment (Replacing)'!C12="8.5x11 Pages","Total 8.5x11 Pages Produced by Print Operation",'Current Equipment (Replacing)'!C12="Pieces","Total Production Hours for Print Operation"),"FILL IN UNITS ON CURRENT EQ TAB")</f>
        <v>Total 8.5x11 Pages Produced by Print Operation</v>
      </c>
      <c r="B8" s="654"/>
      <c r="C8" s="49"/>
      <c r="D8" s="49"/>
      <c r="E8" s="661"/>
      <c r="F8" s="662"/>
      <c r="G8" s="662"/>
      <c r="H8" s="663"/>
      <c r="I8" s="58"/>
      <c r="J8" s="617"/>
      <c r="K8" s="618"/>
      <c r="L8" s="618"/>
      <c r="M8" s="618"/>
      <c r="N8" s="618"/>
      <c r="O8" s="618"/>
      <c r="P8" s="618"/>
      <c r="Q8" s="619"/>
      <c r="R8" s="59"/>
      <c r="S8" s="59"/>
      <c r="T8" s="59"/>
    </row>
    <row r="9" spans="1:20" s="78" customFormat="1" ht="30" customHeight="1">
      <c r="A9" s="653" t="str" cm="1">
        <f t="array" ref="A9">IFERROR(_xlfn.IFS('Current Equipment (Replacing)'!C12="8.5x11 Pages","Estimated Equipment 8.5x11 Pages Produced",'Current Equipment (Replacing)'!C12="Pieces","Annual Production Hours (Current and Proposed EQ Only)"),"FILL IN UNITS ON CURRENT EQ TAB")</f>
        <v>Estimated Equipment 8.5x11 Pages Produced</v>
      </c>
      <c r="B9" s="654"/>
      <c r="C9" s="50"/>
      <c r="D9" s="50"/>
      <c r="E9" s="661"/>
      <c r="F9" s="662"/>
      <c r="G9" s="662"/>
      <c r="H9" s="663"/>
      <c r="I9" s="58"/>
      <c r="J9" s="617"/>
      <c r="K9" s="618"/>
      <c r="L9" s="618"/>
      <c r="M9" s="618"/>
      <c r="N9" s="618"/>
      <c r="O9" s="618"/>
      <c r="P9" s="618"/>
      <c r="Q9" s="619"/>
      <c r="R9" s="59"/>
      <c r="S9" s="59"/>
      <c r="T9" s="59"/>
    </row>
    <row r="10" spans="1:20" ht="51" customHeight="1">
      <c r="A10" s="576" t="s">
        <v>143</v>
      </c>
      <c r="B10" s="578"/>
      <c r="C10" s="141" t="str">
        <f>IFERROR(ROUND(C9/C8, 4), "-")</f>
        <v>-</v>
      </c>
      <c r="D10" s="141" t="str">
        <f>IFERROR(ROUND(D9/D8, 4),"-")</f>
        <v>-</v>
      </c>
      <c r="E10" s="664"/>
      <c r="F10" s="665"/>
      <c r="G10" s="665"/>
      <c r="H10" s="666"/>
      <c r="I10" s="45"/>
      <c r="J10" s="620"/>
      <c r="K10" s="621"/>
      <c r="L10" s="621"/>
      <c r="M10" s="621"/>
      <c r="N10" s="621"/>
      <c r="O10" s="621"/>
      <c r="P10" s="621"/>
      <c r="Q10" s="622"/>
      <c r="R10" s="20"/>
      <c r="S10" s="20"/>
      <c r="T10" s="20"/>
    </row>
    <row r="11" spans="1:20" ht="15">
      <c r="A11" s="44"/>
      <c r="B11" s="44"/>
      <c r="C11" s="45"/>
      <c r="D11" s="45"/>
      <c r="E11" s="45"/>
      <c r="F11" s="45"/>
      <c r="G11" s="45"/>
      <c r="H11" s="45"/>
      <c r="I11" s="45"/>
      <c r="J11" s="20"/>
      <c r="K11" s="20"/>
      <c r="L11" s="20"/>
      <c r="M11" s="20"/>
      <c r="N11" s="20"/>
      <c r="O11" s="20"/>
      <c r="P11" s="20"/>
      <c r="Q11" s="20"/>
      <c r="R11" s="20"/>
      <c r="S11" s="20"/>
      <c r="T11" s="20"/>
    </row>
    <row r="12" spans="1:20" ht="15.75" thickBot="1">
      <c r="A12" s="44"/>
      <c r="B12" s="44"/>
      <c r="C12" s="45"/>
      <c r="D12" s="45"/>
      <c r="E12" s="45"/>
      <c r="F12" s="45"/>
      <c r="G12" s="45"/>
      <c r="H12" s="45"/>
      <c r="I12" s="45"/>
      <c r="J12" s="20"/>
      <c r="K12" s="20"/>
      <c r="L12" s="20"/>
      <c r="M12" s="20"/>
      <c r="N12" s="20"/>
      <c r="O12" s="20"/>
      <c r="P12" s="20"/>
      <c r="Q12" s="20"/>
      <c r="R12" s="20"/>
      <c r="S12" s="20"/>
      <c r="T12" s="20"/>
    </row>
    <row r="13" spans="1:20" ht="30" customHeight="1">
      <c r="A13" s="680" t="s">
        <v>35</v>
      </c>
      <c r="B13" s="681"/>
      <c r="C13" s="51" t="s">
        <v>144</v>
      </c>
      <c r="D13" s="51" t="s">
        <v>3</v>
      </c>
      <c r="E13" s="51" t="s">
        <v>4</v>
      </c>
      <c r="F13" s="45"/>
      <c r="G13" s="45"/>
      <c r="H13" s="45"/>
      <c r="I13" s="45"/>
      <c r="J13" s="20"/>
      <c r="K13" s="20"/>
      <c r="L13" s="20"/>
      <c r="M13" s="20"/>
      <c r="N13" s="20"/>
      <c r="O13" s="20"/>
      <c r="P13" s="20"/>
      <c r="Q13" s="20"/>
      <c r="R13" s="20"/>
      <c r="S13" s="20"/>
      <c r="T13" s="20"/>
    </row>
    <row r="14" spans="1:20" ht="30" customHeight="1" thickBot="1">
      <c r="A14" s="682"/>
      <c r="B14" s="683"/>
      <c r="C14" s="155">
        <f>SUM(C23,C30,F64)</f>
        <v>0</v>
      </c>
      <c r="D14" s="155">
        <f>SUM(D23,D30,D33:D34,G64)</f>
        <v>0</v>
      </c>
      <c r="E14" s="155">
        <f>SUM(E23,E30,E33:E34,H64)</f>
        <v>0</v>
      </c>
      <c r="F14" s="45"/>
      <c r="G14" s="45"/>
      <c r="H14" s="45"/>
      <c r="I14" s="45"/>
      <c r="J14" s="20"/>
      <c r="K14" s="20"/>
      <c r="L14" s="20"/>
      <c r="M14" s="20"/>
      <c r="N14" s="20"/>
      <c r="O14" s="20"/>
      <c r="P14" s="20"/>
      <c r="Q14" s="20"/>
      <c r="R14" s="20"/>
      <c r="S14" s="20"/>
      <c r="T14" s="20"/>
    </row>
    <row r="15" spans="1:20" ht="15">
      <c r="A15" s="44"/>
      <c r="B15" s="44"/>
      <c r="C15" s="45"/>
      <c r="D15" s="45"/>
      <c r="E15" s="45"/>
      <c r="F15" s="45"/>
      <c r="G15" s="45"/>
      <c r="H15" s="45"/>
      <c r="I15" s="45"/>
      <c r="J15" s="20"/>
      <c r="K15" s="20"/>
      <c r="L15" s="20"/>
      <c r="M15" s="20"/>
      <c r="N15" s="20"/>
      <c r="O15" s="20"/>
      <c r="P15" s="20"/>
      <c r="Q15" s="20"/>
      <c r="R15" s="20"/>
      <c r="S15" s="20"/>
      <c r="T15" s="20"/>
    </row>
    <row r="16" spans="1:20" ht="15">
      <c r="A16" s="52"/>
      <c r="B16" s="52"/>
      <c r="C16" s="45"/>
      <c r="D16" s="53"/>
      <c r="E16" s="53"/>
      <c r="F16" s="45"/>
      <c r="G16" s="45"/>
      <c r="H16" s="45"/>
      <c r="I16" s="45"/>
      <c r="J16" s="20"/>
      <c r="K16" s="20"/>
      <c r="L16" s="20"/>
      <c r="M16" s="20"/>
      <c r="N16" s="20"/>
      <c r="O16" s="20"/>
      <c r="P16" s="20"/>
      <c r="Q16" s="20"/>
      <c r="R16" s="20"/>
      <c r="S16" s="20"/>
      <c r="T16" s="20"/>
    </row>
    <row r="17" spans="1:20" ht="30" customHeight="1" thickBot="1">
      <c r="A17" s="678" t="s">
        <v>145</v>
      </c>
      <c r="B17" s="679"/>
      <c r="C17" s="54" t="s">
        <v>144</v>
      </c>
      <c r="D17" s="51" t="s">
        <v>3</v>
      </c>
      <c r="E17" s="60" t="s">
        <v>4</v>
      </c>
      <c r="F17" s="655" t="s">
        <v>146</v>
      </c>
      <c r="G17" s="657"/>
      <c r="H17" s="656"/>
      <c r="I17" s="45"/>
      <c r="J17" s="608" t="s">
        <v>147</v>
      </c>
      <c r="K17" s="609"/>
      <c r="L17" s="609"/>
      <c r="M17" s="609"/>
      <c r="N17" s="609"/>
      <c r="O17" s="609"/>
      <c r="P17" s="609"/>
      <c r="Q17" s="610"/>
      <c r="R17" s="20"/>
      <c r="S17" s="20"/>
      <c r="T17" s="20"/>
    </row>
    <row r="18" spans="1:20" ht="30" customHeight="1">
      <c r="A18" s="55"/>
      <c r="B18" s="234" t="s">
        <v>148</v>
      </c>
      <c r="C18" s="231"/>
      <c r="D18" s="323" t="str">
        <f>IFERROR(C18*$C$10,"-")</f>
        <v>-</v>
      </c>
      <c r="E18" s="144" t="str">
        <f>IFERROR(C18*$D$10,"-")</f>
        <v>-</v>
      </c>
      <c r="F18" s="684"/>
      <c r="G18" s="685"/>
      <c r="H18" s="686"/>
      <c r="I18" s="45"/>
      <c r="J18" s="614" t="s">
        <v>149</v>
      </c>
      <c r="K18" s="615"/>
      <c r="L18" s="615"/>
      <c r="M18" s="615"/>
      <c r="N18" s="615"/>
      <c r="O18" s="615"/>
      <c r="P18" s="615"/>
      <c r="Q18" s="616"/>
      <c r="R18" s="20"/>
      <c r="S18" s="20"/>
      <c r="T18" s="20"/>
    </row>
    <row r="19" spans="1:20" ht="30" customHeight="1">
      <c r="A19" s="56"/>
      <c r="B19" s="235" t="s">
        <v>150</v>
      </c>
      <c r="C19" s="232"/>
      <c r="D19" s="324" t="str">
        <f t="shared" ref="D19:D22" si="0">IFERROR(C19*$C$10,"-")</f>
        <v>-</v>
      </c>
      <c r="E19" s="145" t="str">
        <f t="shared" ref="E19:E22" si="1">IFERROR(C19*$D$10,"-")</f>
        <v>-</v>
      </c>
      <c r="F19" s="687"/>
      <c r="G19" s="688"/>
      <c r="H19" s="689"/>
      <c r="I19" s="45"/>
      <c r="J19" s="617"/>
      <c r="K19" s="618"/>
      <c r="L19" s="618"/>
      <c r="M19" s="618"/>
      <c r="N19" s="618"/>
      <c r="O19" s="618"/>
      <c r="P19" s="618"/>
      <c r="Q19" s="619"/>
      <c r="R19" s="20"/>
      <c r="S19" s="20"/>
      <c r="T19" s="20"/>
    </row>
    <row r="20" spans="1:20" ht="30" customHeight="1">
      <c r="A20" s="56"/>
      <c r="B20" s="235" t="s">
        <v>151</v>
      </c>
      <c r="C20" s="232"/>
      <c r="D20" s="324" t="str">
        <f t="shared" si="0"/>
        <v>-</v>
      </c>
      <c r="E20" s="145" t="str">
        <f t="shared" si="1"/>
        <v>-</v>
      </c>
      <c r="F20" s="687"/>
      <c r="G20" s="688"/>
      <c r="H20" s="689"/>
      <c r="I20" s="45"/>
      <c r="J20" s="617"/>
      <c r="K20" s="618"/>
      <c r="L20" s="618"/>
      <c r="M20" s="618"/>
      <c r="N20" s="618"/>
      <c r="O20" s="618"/>
      <c r="P20" s="618"/>
      <c r="Q20" s="619"/>
      <c r="R20" s="20"/>
      <c r="S20" s="20"/>
      <c r="T20" s="20"/>
    </row>
    <row r="21" spans="1:20" ht="30" customHeight="1">
      <c r="A21" s="56"/>
      <c r="B21" s="235" t="s">
        <v>152</v>
      </c>
      <c r="C21" s="232"/>
      <c r="D21" s="324" t="str">
        <f t="shared" si="0"/>
        <v>-</v>
      </c>
      <c r="E21" s="145" t="str">
        <f t="shared" si="1"/>
        <v>-</v>
      </c>
      <c r="F21" s="687"/>
      <c r="G21" s="688"/>
      <c r="H21" s="689"/>
      <c r="I21" s="45"/>
      <c r="J21" s="617"/>
      <c r="K21" s="618"/>
      <c r="L21" s="618"/>
      <c r="M21" s="618"/>
      <c r="N21" s="618"/>
      <c r="O21" s="618"/>
      <c r="P21" s="618"/>
      <c r="Q21" s="619"/>
      <c r="R21" s="20"/>
      <c r="S21" s="20"/>
      <c r="T21" s="20"/>
    </row>
    <row r="22" spans="1:20" ht="30" customHeight="1" thickBot="1">
      <c r="A22" s="57"/>
      <c r="B22" s="236" t="s">
        <v>153</v>
      </c>
      <c r="C22" s="233"/>
      <c r="D22" s="325" t="str">
        <f t="shared" si="0"/>
        <v>-</v>
      </c>
      <c r="E22" s="146" t="str">
        <f t="shared" si="1"/>
        <v>-</v>
      </c>
      <c r="F22" s="690"/>
      <c r="G22" s="691"/>
      <c r="H22" s="692"/>
      <c r="I22" s="45"/>
      <c r="J22" s="620"/>
      <c r="K22" s="621"/>
      <c r="L22" s="621"/>
      <c r="M22" s="621"/>
      <c r="N22" s="621"/>
      <c r="O22" s="621"/>
      <c r="P22" s="621"/>
      <c r="Q22" s="622"/>
      <c r="R22" s="20"/>
      <c r="S22" s="20"/>
      <c r="T22" s="20"/>
    </row>
    <row r="23" spans="1:20" ht="30" customHeight="1">
      <c r="A23" s="643" t="s">
        <v>154</v>
      </c>
      <c r="B23" s="644"/>
      <c r="C23" s="453">
        <f>SUM(C17:C22)</f>
        <v>0</v>
      </c>
      <c r="D23" s="454">
        <f t="shared" ref="D23:E23" si="2">SUM(D17:D22)</f>
        <v>0</v>
      </c>
      <c r="E23" s="455">
        <f t="shared" si="2"/>
        <v>0</v>
      </c>
      <c r="F23" s="673"/>
      <c r="G23" s="674"/>
      <c r="H23" s="675"/>
      <c r="I23" s="45"/>
      <c r="J23" s="20"/>
      <c r="K23" s="20"/>
      <c r="L23" s="20"/>
      <c r="M23" s="20"/>
      <c r="N23" s="20"/>
      <c r="O23" s="20"/>
      <c r="P23" s="20"/>
      <c r="Q23" s="20"/>
      <c r="R23" s="20"/>
      <c r="S23" s="20"/>
      <c r="T23" s="20"/>
    </row>
    <row r="24" spans="1:20" ht="30" customHeight="1" thickBot="1">
      <c r="A24" s="55"/>
      <c r="B24" s="234" t="s">
        <v>155</v>
      </c>
      <c r="C24" s="231"/>
      <c r="D24" s="323" t="str">
        <f>IFERROR(C24*$C$10, "-")</f>
        <v>-</v>
      </c>
      <c r="E24" s="144" t="str">
        <f>IFERROR(C24*$D$10, "-")</f>
        <v>-</v>
      </c>
      <c r="F24" s="684"/>
      <c r="G24" s="685"/>
      <c r="H24" s="686"/>
      <c r="I24" s="45"/>
      <c r="J24" s="608" t="s">
        <v>156</v>
      </c>
      <c r="K24" s="609"/>
      <c r="L24" s="609"/>
      <c r="M24" s="609"/>
      <c r="N24" s="609"/>
      <c r="O24" s="609"/>
      <c r="P24" s="609"/>
      <c r="Q24" s="610"/>
      <c r="R24" s="20"/>
      <c r="S24" s="20"/>
      <c r="T24" s="20"/>
    </row>
    <row r="25" spans="1:20" ht="30" customHeight="1">
      <c r="A25" s="56"/>
      <c r="B25" s="235" t="s">
        <v>157</v>
      </c>
      <c r="C25" s="232"/>
      <c r="D25" s="324" t="str">
        <f t="shared" ref="D25:D29" si="3">IFERROR(C25*$C$10, "-")</f>
        <v>-</v>
      </c>
      <c r="E25" s="145" t="str">
        <f t="shared" ref="E25:E29" si="4">IFERROR(C25*$D$10, "-")</f>
        <v>-</v>
      </c>
      <c r="F25" s="687"/>
      <c r="G25" s="688"/>
      <c r="H25" s="689"/>
      <c r="I25" s="45"/>
      <c r="J25" s="614" t="s">
        <v>158</v>
      </c>
      <c r="K25" s="615"/>
      <c r="L25" s="615"/>
      <c r="M25" s="615"/>
      <c r="N25" s="615"/>
      <c r="O25" s="615"/>
      <c r="P25" s="615"/>
      <c r="Q25" s="616"/>
      <c r="R25" s="20"/>
      <c r="S25" s="20"/>
      <c r="T25" s="20"/>
    </row>
    <row r="26" spans="1:20" ht="30" customHeight="1">
      <c r="A26" s="56"/>
      <c r="B26" s="235" t="s">
        <v>159</v>
      </c>
      <c r="C26" s="232"/>
      <c r="D26" s="324" t="str">
        <f t="shared" si="3"/>
        <v>-</v>
      </c>
      <c r="E26" s="145" t="str">
        <f t="shared" si="4"/>
        <v>-</v>
      </c>
      <c r="F26" s="687"/>
      <c r="G26" s="688"/>
      <c r="H26" s="689"/>
      <c r="I26" s="45"/>
      <c r="J26" s="617"/>
      <c r="K26" s="618"/>
      <c r="L26" s="618"/>
      <c r="M26" s="618"/>
      <c r="N26" s="618"/>
      <c r="O26" s="618"/>
      <c r="P26" s="618"/>
      <c r="Q26" s="619"/>
      <c r="R26" s="20"/>
      <c r="S26" s="20"/>
      <c r="T26" s="20"/>
    </row>
    <row r="27" spans="1:20" ht="30" customHeight="1">
      <c r="A27" s="56"/>
      <c r="B27" s="235" t="s">
        <v>160</v>
      </c>
      <c r="C27" s="232"/>
      <c r="D27" s="324" t="str">
        <f t="shared" si="3"/>
        <v>-</v>
      </c>
      <c r="E27" s="145" t="str">
        <f t="shared" si="4"/>
        <v>-</v>
      </c>
      <c r="F27" s="687"/>
      <c r="G27" s="688"/>
      <c r="H27" s="689"/>
      <c r="I27" s="45"/>
      <c r="J27" s="617"/>
      <c r="K27" s="618"/>
      <c r="L27" s="618"/>
      <c r="M27" s="618"/>
      <c r="N27" s="618"/>
      <c r="O27" s="618"/>
      <c r="P27" s="618"/>
      <c r="Q27" s="619"/>
      <c r="R27" s="20"/>
      <c r="S27" s="20"/>
      <c r="T27" s="20"/>
    </row>
    <row r="28" spans="1:20" ht="30" customHeight="1">
      <c r="A28" s="56"/>
      <c r="B28" s="235" t="s">
        <v>161</v>
      </c>
      <c r="C28" s="232"/>
      <c r="D28" s="324" t="str">
        <f t="shared" si="3"/>
        <v>-</v>
      </c>
      <c r="E28" s="145" t="str">
        <f t="shared" si="4"/>
        <v>-</v>
      </c>
      <c r="F28" s="687"/>
      <c r="G28" s="688"/>
      <c r="H28" s="689"/>
      <c r="I28" s="45"/>
      <c r="J28" s="617"/>
      <c r="K28" s="618"/>
      <c r="L28" s="618"/>
      <c r="M28" s="618"/>
      <c r="N28" s="618"/>
      <c r="O28" s="618"/>
      <c r="P28" s="618"/>
      <c r="Q28" s="619"/>
      <c r="R28" s="20"/>
      <c r="S28" s="20"/>
      <c r="T28" s="20"/>
    </row>
    <row r="29" spans="1:20" ht="30" customHeight="1">
      <c r="A29" s="57"/>
      <c r="B29" s="236" t="s">
        <v>162</v>
      </c>
      <c r="C29" s="233"/>
      <c r="D29" s="325" t="str">
        <f t="shared" si="3"/>
        <v>-</v>
      </c>
      <c r="E29" s="146" t="str">
        <f t="shared" si="4"/>
        <v>-</v>
      </c>
      <c r="F29" s="690"/>
      <c r="G29" s="691"/>
      <c r="H29" s="692"/>
      <c r="I29" s="45"/>
      <c r="J29" s="620"/>
      <c r="K29" s="621"/>
      <c r="L29" s="621"/>
      <c r="M29" s="621"/>
      <c r="N29" s="621"/>
      <c r="O29" s="621"/>
      <c r="P29" s="621"/>
      <c r="Q29" s="622"/>
      <c r="R29" s="20"/>
      <c r="S29" s="20"/>
      <c r="T29" s="20"/>
    </row>
    <row r="30" spans="1:20" ht="30" customHeight="1">
      <c r="A30" s="643" t="s">
        <v>163</v>
      </c>
      <c r="B30" s="644"/>
      <c r="C30" s="147">
        <f>SUM(C24:C29)</f>
        <v>0</v>
      </c>
      <c r="D30" s="147">
        <f t="shared" ref="D30:E30" si="5">SUM(D24:D29)</f>
        <v>0</v>
      </c>
      <c r="E30" s="326">
        <f t="shared" si="5"/>
        <v>0</v>
      </c>
      <c r="F30" s="673"/>
      <c r="G30" s="674"/>
      <c r="H30" s="675"/>
      <c r="I30" s="45"/>
      <c r="J30" s="20"/>
      <c r="K30" s="20"/>
      <c r="L30" s="20"/>
      <c r="M30" s="20"/>
      <c r="N30" s="20"/>
      <c r="O30" s="20"/>
      <c r="P30" s="20"/>
      <c r="Q30" s="20"/>
      <c r="R30" s="20"/>
      <c r="S30" s="20"/>
      <c r="T30" s="20"/>
    </row>
    <row r="31" spans="1:20" ht="30" customHeight="1">
      <c r="A31" s="20"/>
      <c r="B31" s="20"/>
      <c r="C31" s="20"/>
      <c r="D31" s="20"/>
      <c r="E31" s="20"/>
      <c r="F31" s="20"/>
      <c r="G31" s="20"/>
      <c r="H31" s="20"/>
      <c r="I31" s="45"/>
      <c r="J31" s="20"/>
      <c r="K31" s="20"/>
      <c r="L31" s="20"/>
      <c r="M31" s="20"/>
      <c r="N31" s="20"/>
      <c r="O31" s="20"/>
      <c r="P31" s="20"/>
      <c r="Q31" s="20"/>
      <c r="R31" s="20"/>
      <c r="S31" s="20"/>
      <c r="T31" s="20"/>
    </row>
    <row r="32" spans="1:20" ht="30">
      <c r="A32" s="20"/>
      <c r="B32" s="20"/>
      <c r="C32" s="20"/>
      <c r="D32" s="60" t="s">
        <v>3</v>
      </c>
      <c r="E32" s="417" t="s">
        <v>4</v>
      </c>
      <c r="F32" s="20"/>
      <c r="G32" s="20"/>
      <c r="H32" s="20"/>
      <c r="I32" s="20"/>
      <c r="J32" s="20"/>
      <c r="K32" s="20"/>
      <c r="L32" s="20"/>
      <c r="M32" s="20"/>
      <c r="N32" s="20"/>
      <c r="O32" s="20"/>
      <c r="P32" s="20"/>
      <c r="Q32" s="20"/>
      <c r="R32" s="20"/>
      <c r="S32" s="20"/>
      <c r="T32" s="20"/>
    </row>
    <row r="33" spans="1:20" ht="15" customHeight="1">
      <c r="A33" s="645" t="s">
        <v>164</v>
      </c>
      <c r="B33" s="646"/>
      <c r="C33" s="646"/>
      <c r="D33" s="413">
        <f>SUM('Current Equipment (Replacing)'!G12:G16,'Current Equipment (Replacing)'!H12:H16)</f>
        <v>0</v>
      </c>
      <c r="E33" s="414">
        <f>SUM('Proposed Equipment'!L8:L12)</f>
        <v>0</v>
      </c>
      <c r="F33" s="20"/>
      <c r="G33" s="20"/>
      <c r="H33" s="20"/>
      <c r="I33" s="20"/>
      <c r="J33" s="20"/>
      <c r="K33" s="20"/>
      <c r="L33" s="20"/>
      <c r="M33" s="20"/>
      <c r="N33" s="20"/>
      <c r="O33" s="20"/>
      <c r="P33" s="20"/>
      <c r="Q33" s="20"/>
      <c r="R33" s="20"/>
      <c r="S33" s="20"/>
      <c r="T33" s="20"/>
    </row>
    <row r="34" spans="1:20" ht="15" customHeight="1">
      <c r="A34" s="647" t="s">
        <v>165</v>
      </c>
      <c r="B34" s="648"/>
      <c r="C34" s="648"/>
      <c r="D34" s="415">
        <f>'Labor Costs'!K37</f>
        <v>0</v>
      </c>
      <c r="E34" s="416">
        <f>'Labor Costs'!K64</f>
        <v>0</v>
      </c>
      <c r="F34" s="20"/>
      <c r="G34" s="20"/>
      <c r="H34" s="20"/>
      <c r="I34" s="20"/>
      <c r="J34" s="20"/>
      <c r="K34" s="20"/>
      <c r="L34" s="20"/>
      <c r="M34" s="20"/>
      <c r="N34" s="20"/>
      <c r="O34" s="20"/>
      <c r="P34" s="20"/>
      <c r="Q34" s="20"/>
      <c r="R34" s="20"/>
      <c r="S34" s="20"/>
      <c r="T34" s="20"/>
    </row>
    <row r="35" spans="1:20">
      <c r="A35" s="20"/>
      <c r="B35" s="20"/>
      <c r="C35" s="20"/>
      <c r="D35" s="20"/>
      <c r="E35" s="20"/>
      <c r="F35" s="20"/>
      <c r="G35" s="20"/>
      <c r="H35" s="20"/>
      <c r="I35" s="20"/>
      <c r="J35" s="20"/>
      <c r="K35" s="20"/>
      <c r="L35" s="20"/>
      <c r="M35" s="20"/>
      <c r="N35" s="20"/>
      <c r="O35" s="20"/>
      <c r="P35" s="20"/>
      <c r="Q35" s="20"/>
      <c r="R35" s="20"/>
      <c r="S35" s="20"/>
      <c r="T35" s="20"/>
    </row>
    <row r="36" spans="1:20" ht="18.75" customHeight="1">
      <c r="A36" s="627" t="s">
        <v>166</v>
      </c>
      <c r="B36" s="628"/>
      <c r="C36" s="628"/>
      <c r="D36" s="628"/>
      <c r="E36" s="628"/>
      <c r="F36" s="628"/>
      <c r="G36" s="628"/>
      <c r="H36" s="629"/>
      <c r="I36" s="20"/>
      <c r="J36" s="608" t="s">
        <v>167</v>
      </c>
      <c r="K36" s="609"/>
      <c r="L36" s="609"/>
      <c r="M36" s="609"/>
      <c r="N36" s="609"/>
      <c r="O36" s="609"/>
      <c r="P36" s="609"/>
      <c r="Q36" s="610"/>
      <c r="R36" s="20"/>
      <c r="S36" s="20"/>
      <c r="T36" s="20"/>
    </row>
    <row r="37" spans="1:20" ht="15" customHeight="1">
      <c r="A37" s="630"/>
      <c r="B37" s="631"/>
      <c r="C37" s="631"/>
      <c r="D37" s="631"/>
      <c r="E37" s="631"/>
      <c r="F37" s="631"/>
      <c r="G37" s="631"/>
      <c r="H37" s="632"/>
      <c r="I37" s="20"/>
      <c r="J37" s="611"/>
      <c r="K37" s="612"/>
      <c r="L37" s="612"/>
      <c r="M37" s="612"/>
      <c r="N37" s="612"/>
      <c r="O37" s="612"/>
      <c r="P37" s="612"/>
      <c r="Q37" s="613"/>
      <c r="R37" s="20"/>
      <c r="S37" s="20"/>
      <c r="T37" s="20"/>
    </row>
    <row r="38" spans="1:20" ht="39" customHeight="1">
      <c r="A38" s="43" t="s">
        <v>168</v>
      </c>
      <c r="B38" s="41" t="s">
        <v>169</v>
      </c>
      <c r="C38" s="493" t="s">
        <v>126</v>
      </c>
      <c r="D38" s="493" t="s">
        <v>128</v>
      </c>
      <c r="E38" s="493" t="s">
        <v>116</v>
      </c>
      <c r="F38" s="309" t="s">
        <v>170</v>
      </c>
      <c r="G38" s="51" t="s">
        <v>3</v>
      </c>
      <c r="H38" s="51" t="s">
        <v>4</v>
      </c>
      <c r="I38" s="20"/>
      <c r="J38" s="614" t="s">
        <v>171</v>
      </c>
      <c r="K38" s="615"/>
      <c r="L38" s="615"/>
      <c r="M38" s="615"/>
      <c r="N38" s="615"/>
      <c r="O38" s="615"/>
      <c r="P38" s="615"/>
      <c r="Q38" s="616"/>
      <c r="R38" s="20"/>
      <c r="S38" s="20"/>
      <c r="T38" s="20"/>
    </row>
    <row r="39" spans="1:20" ht="14.25" customHeight="1">
      <c r="A39" s="430"/>
      <c r="B39" s="255"/>
      <c r="C39" s="251" t="str">
        <f>IF(ISTEXT(B39), VLOOKUP(B39, Sheet1!$D$2:$E$37,2,FALSE),"-")</f>
        <v>-</v>
      </c>
      <c r="D39" s="249" t="str">
        <f t="shared" ref="D39:D56" si="6">IF(ISNONTEXT(C39),C39*A39,"-")</f>
        <v>-</v>
      </c>
      <c r="E39" s="148" t="str">
        <f>IF(ISNONTEXT(C39),A39*C39*'Labor Costs'!$C$11,"-")</f>
        <v>-</v>
      </c>
      <c r="F39" s="239" t="str">
        <f t="shared" ref="F39:F56" si="7">IF(ISNONTEXT(C39), SUM(D39,E39), "-")</f>
        <v>-</v>
      </c>
      <c r="G39" s="246" t="str">
        <f>IFERROR(F39*$C$10,"-")</f>
        <v>-</v>
      </c>
      <c r="H39" s="243" t="str">
        <f>IFERROR(F39*$D$10,"-")</f>
        <v>-</v>
      </c>
      <c r="I39" s="20"/>
      <c r="J39" s="617"/>
      <c r="K39" s="618"/>
      <c r="L39" s="618"/>
      <c r="M39" s="618"/>
      <c r="N39" s="618"/>
      <c r="O39" s="618"/>
      <c r="P39" s="618"/>
      <c r="Q39" s="619"/>
      <c r="R39" s="20"/>
      <c r="S39" s="20"/>
      <c r="T39" s="20"/>
    </row>
    <row r="40" spans="1:20" ht="14.25" customHeight="1">
      <c r="A40" s="430"/>
      <c r="B40" s="256"/>
      <c r="C40" s="252" t="str">
        <f>IF(ISTEXT(B40), VLOOKUP(B40, Sheet1!$D$2:$E$37,2,FALSE),"-")</f>
        <v>-</v>
      </c>
      <c r="D40" s="250" t="str">
        <f t="shared" si="6"/>
        <v>-</v>
      </c>
      <c r="E40" s="149" t="str">
        <f>IF(ISNONTEXT(C40),A40*C40*'Labor Costs'!$C$11,"-")</f>
        <v>-</v>
      </c>
      <c r="F40" s="240" t="str">
        <f t="shared" si="7"/>
        <v>-</v>
      </c>
      <c r="G40" s="247" t="str">
        <f t="shared" ref="G40:G63" si="8">IFERROR(F40*$C$10,"-")</f>
        <v>-</v>
      </c>
      <c r="H40" s="244" t="str">
        <f t="shared" ref="H40:H63" si="9">IFERROR(F40*$D$10,"-")</f>
        <v>-</v>
      </c>
      <c r="I40" s="20"/>
      <c r="J40" s="617"/>
      <c r="K40" s="618"/>
      <c r="L40" s="618"/>
      <c r="M40" s="618"/>
      <c r="N40" s="618"/>
      <c r="O40" s="618"/>
      <c r="P40" s="618"/>
      <c r="Q40" s="619"/>
      <c r="R40" s="20"/>
      <c r="S40" s="20"/>
      <c r="T40" s="20"/>
    </row>
    <row r="41" spans="1:20" ht="14.25" customHeight="1">
      <c r="A41" s="430"/>
      <c r="B41" s="256"/>
      <c r="C41" s="252" t="str">
        <f>IF(ISTEXT(B41), VLOOKUP(B41, Sheet1!$D$2:$E$37,2,FALSE),"-")</f>
        <v>-</v>
      </c>
      <c r="D41" s="250" t="str">
        <f t="shared" si="6"/>
        <v>-</v>
      </c>
      <c r="E41" s="149" t="str">
        <f>IF(ISNONTEXT(C41),A41*C41*'Labor Costs'!$C$11,"-")</f>
        <v>-</v>
      </c>
      <c r="F41" s="240" t="str">
        <f t="shared" si="7"/>
        <v>-</v>
      </c>
      <c r="G41" s="247" t="str">
        <f t="shared" si="8"/>
        <v>-</v>
      </c>
      <c r="H41" s="244" t="str">
        <f t="shared" si="9"/>
        <v>-</v>
      </c>
      <c r="I41" s="20"/>
      <c r="J41" s="617"/>
      <c r="K41" s="618"/>
      <c r="L41" s="618"/>
      <c r="M41" s="618"/>
      <c r="N41" s="618"/>
      <c r="O41" s="618"/>
      <c r="P41" s="618"/>
      <c r="Q41" s="619"/>
      <c r="R41" s="20"/>
      <c r="S41" s="20"/>
      <c r="T41" s="20"/>
    </row>
    <row r="42" spans="1:20" ht="14.25" customHeight="1">
      <c r="A42" s="430"/>
      <c r="B42" s="256"/>
      <c r="C42" s="252" t="str">
        <f>IF(ISTEXT(B42), VLOOKUP(B42, Sheet1!$D$2:$E$37,2,FALSE),"-")</f>
        <v>-</v>
      </c>
      <c r="D42" s="250" t="str">
        <f t="shared" si="6"/>
        <v>-</v>
      </c>
      <c r="E42" s="149" t="str">
        <f>IF(ISNONTEXT(C42),A42*C42*'Labor Costs'!$C$11,"-")</f>
        <v>-</v>
      </c>
      <c r="F42" s="240" t="str">
        <f t="shared" si="7"/>
        <v>-</v>
      </c>
      <c r="G42" s="247" t="str">
        <f t="shared" si="8"/>
        <v>-</v>
      </c>
      <c r="H42" s="244" t="str">
        <f t="shared" si="9"/>
        <v>-</v>
      </c>
      <c r="I42" s="20"/>
      <c r="J42" s="617"/>
      <c r="K42" s="618"/>
      <c r="L42" s="618"/>
      <c r="M42" s="618"/>
      <c r="N42" s="618"/>
      <c r="O42" s="618"/>
      <c r="P42" s="618"/>
      <c r="Q42" s="619"/>
      <c r="R42" s="20"/>
      <c r="S42" s="20"/>
      <c r="T42" s="20"/>
    </row>
    <row r="43" spans="1:20" ht="14.25" customHeight="1">
      <c r="A43" s="430"/>
      <c r="B43" s="256"/>
      <c r="C43" s="252" t="str">
        <f>IF(ISTEXT(B43), VLOOKUP(B43, Sheet1!$D$2:$E$37,2,FALSE),"-")</f>
        <v>-</v>
      </c>
      <c r="D43" s="250" t="str">
        <f t="shared" si="6"/>
        <v>-</v>
      </c>
      <c r="E43" s="149" t="str">
        <f>IF(ISNONTEXT(C43),A43*C43*'Labor Costs'!$C$11,"-")</f>
        <v>-</v>
      </c>
      <c r="F43" s="240" t="str">
        <f t="shared" si="7"/>
        <v>-</v>
      </c>
      <c r="G43" s="247" t="str">
        <f t="shared" si="8"/>
        <v>-</v>
      </c>
      <c r="H43" s="244" t="str">
        <f t="shared" si="9"/>
        <v>-</v>
      </c>
      <c r="I43" s="20"/>
      <c r="J43" s="617"/>
      <c r="K43" s="618"/>
      <c r="L43" s="618"/>
      <c r="M43" s="618"/>
      <c r="N43" s="618"/>
      <c r="O43" s="618"/>
      <c r="P43" s="618"/>
      <c r="Q43" s="619"/>
      <c r="R43" s="20"/>
      <c r="S43" s="20"/>
      <c r="T43" s="20"/>
    </row>
    <row r="44" spans="1:20" ht="14.25" customHeight="1">
      <c r="A44" s="430"/>
      <c r="B44" s="256"/>
      <c r="C44" s="252" t="str">
        <f>IF(ISTEXT(B44), VLOOKUP(B44, Sheet1!$D$2:$E$37,2,FALSE),"-")</f>
        <v>-</v>
      </c>
      <c r="D44" s="250" t="str">
        <f t="shared" si="6"/>
        <v>-</v>
      </c>
      <c r="E44" s="149" t="str">
        <f>IF(ISNONTEXT(C44),A44*C44*'Labor Costs'!$C$11,"-")</f>
        <v>-</v>
      </c>
      <c r="F44" s="240" t="str">
        <f t="shared" si="7"/>
        <v>-</v>
      </c>
      <c r="G44" s="247" t="str">
        <f t="shared" si="8"/>
        <v>-</v>
      </c>
      <c r="H44" s="244" t="str">
        <f t="shared" si="9"/>
        <v>-</v>
      </c>
      <c r="I44" s="20"/>
      <c r="J44" s="617"/>
      <c r="K44" s="618"/>
      <c r="L44" s="618"/>
      <c r="M44" s="618"/>
      <c r="N44" s="618"/>
      <c r="O44" s="618"/>
      <c r="P44" s="618"/>
      <c r="Q44" s="619"/>
      <c r="R44" s="20"/>
      <c r="S44" s="20"/>
      <c r="T44" s="20"/>
    </row>
    <row r="45" spans="1:20" ht="14.25" customHeight="1">
      <c r="A45" s="430"/>
      <c r="B45" s="256"/>
      <c r="C45" s="252" t="str">
        <f>IF(ISTEXT(B45), VLOOKUP(B45, Sheet1!$D$2:$E$37,2,FALSE),"-")</f>
        <v>-</v>
      </c>
      <c r="D45" s="250" t="str">
        <f t="shared" si="6"/>
        <v>-</v>
      </c>
      <c r="E45" s="149" t="str">
        <f>IF(ISNONTEXT(C45),A45*C45*'Labor Costs'!$C$11,"-")</f>
        <v>-</v>
      </c>
      <c r="F45" s="240" t="str">
        <f t="shared" si="7"/>
        <v>-</v>
      </c>
      <c r="G45" s="247" t="str">
        <f t="shared" si="8"/>
        <v>-</v>
      </c>
      <c r="H45" s="244" t="str">
        <f t="shared" si="9"/>
        <v>-</v>
      </c>
      <c r="I45" s="20"/>
      <c r="J45" s="617"/>
      <c r="K45" s="618"/>
      <c r="L45" s="618"/>
      <c r="M45" s="618"/>
      <c r="N45" s="618"/>
      <c r="O45" s="618"/>
      <c r="P45" s="618"/>
      <c r="Q45" s="619"/>
      <c r="R45" s="20"/>
      <c r="S45" s="20"/>
      <c r="T45" s="20"/>
    </row>
    <row r="46" spans="1:20" ht="14.25" customHeight="1">
      <c r="A46" s="430"/>
      <c r="B46" s="256"/>
      <c r="C46" s="252" t="str">
        <f>IF(ISTEXT(B46), VLOOKUP(B46, Sheet1!$D$2:$E$37,2,FALSE),"-")</f>
        <v>-</v>
      </c>
      <c r="D46" s="250" t="str">
        <f t="shared" si="6"/>
        <v>-</v>
      </c>
      <c r="E46" s="149" t="str">
        <f>IF(ISNONTEXT(C46),A46*C46*'Labor Costs'!$C$11,"-")</f>
        <v>-</v>
      </c>
      <c r="F46" s="240" t="str">
        <f t="shared" si="7"/>
        <v>-</v>
      </c>
      <c r="G46" s="247" t="str">
        <f t="shared" si="8"/>
        <v>-</v>
      </c>
      <c r="H46" s="244" t="str">
        <f t="shared" si="9"/>
        <v>-</v>
      </c>
      <c r="I46" s="20"/>
      <c r="J46" s="617"/>
      <c r="K46" s="618"/>
      <c r="L46" s="618"/>
      <c r="M46" s="618"/>
      <c r="N46" s="618"/>
      <c r="O46" s="618"/>
      <c r="P46" s="618"/>
      <c r="Q46" s="619"/>
      <c r="R46" s="20"/>
      <c r="S46" s="20"/>
      <c r="T46" s="20"/>
    </row>
    <row r="47" spans="1:20" ht="14.25" customHeight="1">
      <c r="A47" s="430"/>
      <c r="B47" s="256"/>
      <c r="C47" s="252" t="str">
        <f>IF(ISTEXT(B47), VLOOKUP(B47, Sheet1!$D$2:$E$37,2,FALSE),"-")</f>
        <v>-</v>
      </c>
      <c r="D47" s="250" t="str">
        <f t="shared" si="6"/>
        <v>-</v>
      </c>
      <c r="E47" s="149" t="str">
        <f>IF(ISNONTEXT(C47),A47*C47*'Labor Costs'!$C$11,"-")</f>
        <v>-</v>
      </c>
      <c r="F47" s="240" t="str">
        <f t="shared" si="7"/>
        <v>-</v>
      </c>
      <c r="G47" s="247" t="str">
        <f t="shared" si="8"/>
        <v>-</v>
      </c>
      <c r="H47" s="244" t="str">
        <f t="shared" si="9"/>
        <v>-</v>
      </c>
      <c r="I47" s="20"/>
      <c r="J47" s="617"/>
      <c r="K47" s="618"/>
      <c r="L47" s="618"/>
      <c r="M47" s="618"/>
      <c r="N47" s="618"/>
      <c r="O47" s="618"/>
      <c r="P47" s="618"/>
      <c r="Q47" s="619"/>
      <c r="R47" s="20"/>
      <c r="S47" s="20"/>
      <c r="T47" s="20"/>
    </row>
    <row r="48" spans="1:20" ht="14.25" customHeight="1">
      <c r="A48" s="430"/>
      <c r="B48" s="256"/>
      <c r="C48" s="252" t="str">
        <f>IF(ISTEXT(B48), VLOOKUP(B48, Sheet1!$D$2:$E$37,2,FALSE),"-")</f>
        <v>-</v>
      </c>
      <c r="D48" s="250" t="str">
        <f t="shared" si="6"/>
        <v>-</v>
      </c>
      <c r="E48" s="149" t="str">
        <f>IF(ISNONTEXT(C48),A48*C48*'Labor Costs'!$C$11,"-")</f>
        <v>-</v>
      </c>
      <c r="F48" s="240" t="str">
        <f t="shared" si="7"/>
        <v>-</v>
      </c>
      <c r="G48" s="247" t="str">
        <f t="shared" si="8"/>
        <v>-</v>
      </c>
      <c r="H48" s="244" t="str">
        <f t="shared" si="9"/>
        <v>-</v>
      </c>
      <c r="I48" s="20"/>
      <c r="J48" s="617"/>
      <c r="K48" s="618"/>
      <c r="L48" s="618"/>
      <c r="M48" s="618"/>
      <c r="N48" s="618"/>
      <c r="O48" s="618"/>
      <c r="P48" s="618"/>
      <c r="Q48" s="619"/>
      <c r="R48" s="20"/>
      <c r="S48" s="20"/>
      <c r="T48" s="20"/>
    </row>
    <row r="49" spans="1:20" ht="14.25" customHeight="1">
      <c r="A49" s="430"/>
      <c r="B49" s="256"/>
      <c r="C49" s="252" t="str">
        <f>IF(ISTEXT(B49), VLOOKUP(B49, Sheet1!$D$2:$E$37,2,FALSE),"-")</f>
        <v>-</v>
      </c>
      <c r="D49" s="250" t="str">
        <f t="shared" si="6"/>
        <v>-</v>
      </c>
      <c r="E49" s="149" t="str">
        <f>IF(ISNONTEXT(C49),A49*C49*'Labor Costs'!$C$11,"-")</f>
        <v>-</v>
      </c>
      <c r="F49" s="240" t="str">
        <f t="shared" si="7"/>
        <v>-</v>
      </c>
      <c r="G49" s="247" t="str">
        <f t="shared" si="8"/>
        <v>-</v>
      </c>
      <c r="H49" s="244" t="str">
        <f t="shared" si="9"/>
        <v>-</v>
      </c>
      <c r="I49" s="20"/>
      <c r="J49" s="620"/>
      <c r="K49" s="621"/>
      <c r="L49" s="621"/>
      <c r="M49" s="621"/>
      <c r="N49" s="621"/>
      <c r="O49" s="621"/>
      <c r="P49" s="621"/>
      <c r="Q49" s="622"/>
      <c r="R49" s="20"/>
      <c r="S49" s="20"/>
      <c r="T49" s="20"/>
    </row>
    <row r="50" spans="1:20">
      <c r="A50" s="430"/>
      <c r="B50" s="256"/>
      <c r="C50" s="252" t="str">
        <f>IF(ISTEXT(B50), VLOOKUP(B50, Sheet1!$D$2:$E$37,2,FALSE),"-")</f>
        <v>-</v>
      </c>
      <c r="D50" s="250" t="str">
        <f t="shared" si="6"/>
        <v>-</v>
      </c>
      <c r="E50" s="149" t="str">
        <f>IF(ISNONTEXT(C50),A50*C50*'Labor Costs'!$C$11,"-")</f>
        <v>-</v>
      </c>
      <c r="F50" s="240" t="str">
        <f t="shared" si="7"/>
        <v>-</v>
      </c>
      <c r="G50" s="247" t="str">
        <f t="shared" si="8"/>
        <v>-</v>
      </c>
      <c r="H50" s="244" t="str">
        <f t="shared" si="9"/>
        <v>-</v>
      </c>
      <c r="I50" s="20"/>
      <c r="J50" s="20"/>
      <c r="K50" s="20"/>
      <c r="L50" s="20"/>
      <c r="M50" s="20"/>
      <c r="N50" s="20"/>
      <c r="O50" s="20"/>
      <c r="P50" s="20"/>
      <c r="Q50" s="20"/>
      <c r="R50" s="20"/>
      <c r="S50" s="20"/>
      <c r="T50" s="20"/>
    </row>
    <row r="51" spans="1:20" hidden="1">
      <c r="A51" s="430"/>
      <c r="B51" s="256"/>
      <c r="C51" s="252" t="str">
        <f>IF(ISTEXT(B51), VLOOKUP(B51, Sheet1!$D$2:$E$37,2,FALSE),"-")</f>
        <v>-</v>
      </c>
      <c r="D51" s="250" t="str">
        <f t="shared" si="6"/>
        <v>-</v>
      </c>
      <c r="E51" s="149" t="str">
        <f>IF(ISNONTEXT(C51),A51*C51*'Labor Costs'!$C$11,"-")</f>
        <v>-</v>
      </c>
      <c r="F51" s="240" t="str">
        <f t="shared" si="7"/>
        <v>-</v>
      </c>
      <c r="G51" s="247" t="str">
        <f t="shared" si="8"/>
        <v>-</v>
      </c>
      <c r="H51" s="244" t="str">
        <f t="shared" si="9"/>
        <v>-</v>
      </c>
      <c r="I51" s="20"/>
      <c r="J51" s="20"/>
      <c r="K51" s="20"/>
      <c r="L51" s="20"/>
      <c r="M51" s="20"/>
      <c r="N51" s="20"/>
      <c r="O51" s="20"/>
      <c r="P51" s="20"/>
      <c r="Q51" s="20"/>
      <c r="R51" s="20"/>
      <c r="S51" s="20"/>
      <c r="T51" s="20"/>
    </row>
    <row r="52" spans="1:20" hidden="1">
      <c r="A52" s="430"/>
      <c r="B52" s="256"/>
      <c r="C52" s="252" t="str">
        <f>IF(ISTEXT(B52), VLOOKUP(B52, Sheet1!$D$2:$E$37,2,FALSE),"-")</f>
        <v>-</v>
      </c>
      <c r="D52" s="250" t="str">
        <f t="shared" si="6"/>
        <v>-</v>
      </c>
      <c r="E52" s="149" t="str">
        <f>IF(ISNONTEXT(C52),A52*C52*'Labor Costs'!$C$11,"-")</f>
        <v>-</v>
      </c>
      <c r="F52" s="240" t="str">
        <f t="shared" si="7"/>
        <v>-</v>
      </c>
      <c r="G52" s="247" t="str">
        <f t="shared" si="8"/>
        <v>-</v>
      </c>
      <c r="H52" s="244" t="str">
        <f t="shared" si="9"/>
        <v>-</v>
      </c>
      <c r="I52" s="20"/>
      <c r="J52" s="20"/>
      <c r="K52" s="20"/>
      <c r="L52" s="20"/>
      <c r="M52" s="20"/>
      <c r="N52" s="20"/>
      <c r="O52" s="20"/>
      <c r="P52" s="20"/>
      <c r="Q52" s="20"/>
      <c r="R52" s="20"/>
      <c r="S52" s="20"/>
      <c r="T52" s="20"/>
    </row>
    <row r="53" spans="1:20" hidden="1">
      <c r="A53" s="430"/>
      <c r="B53" s="256"/>
      <c r="C53" s="252" t="str">
        <f>IF(ISTEXT(B53), VLOOKUP(B53, Sheet1!$D$2:$E$37,2,FALSE),"-")</f>
        <v>-</v>
      </c>
      <c r="D53" s="250" t="str">
        <f t="shared" si="6"/>
        <v>-</v>
      </c>
      <c r="E53" s="149" t="str">
        <f>IF(ISNONTEXT(C53),A53*C53*'Labor Costs'!$C$11,"-")</f>
        <v>-</v>
      </c>
      <c r="F53" s="240" t="str">
        <f t="shared" si="7"/>
        <v>-</v>
      </c>
      <c r="G53" s="247" t="str">
        <f t="shared" si="8"/>
        <v>-</v>
      </c>
      <c r="H53" s="244" t="str">
        <f t="shared" si="9"/>
        <v>-</v>
      </c>
      <c r="I53" s="20"/>
      <c r="J53" s="20"/>
      <c r="K53" s="20"/>
      <c r="L53" s="20"/>
      <c r="M53" s="20"/>
      <c r="N53" s="20"/>
      <c r="O53" s="20"/>
      <c r="P53" s="20"/>
      <c r="Q53" s="20"/>
      <c r="R53" s="20"/>
      <c r="S53" s="20"/>
      <c r="T53" s="20"/>
    </row>
    <row r="54" spans="1:20" hidden="1">
      <c r="A54" s="430"/>
      <c r="B54" s="256"/>
      <c r="C54" s="252" t="str">
        <f>IF(ISTEXT(B54), VLOOKUP(B54, Sheet1!$D$2:$E$37,2,FALSE),"-")</f>
        <v>-</v>
      </c>
      <c r="D54" s="250" t="str">
        <f t="shared" si="6"/>
        <v>-</v>
      </c>
      <c r="E54" s="149" t="str">
        <f>IF(ISNONTEXT(C54),A54*C54*'Labor Costs'!$C$11,"-")</f>
        <v>-</v>
      </c>
      <c r="F54" s="240" t="str">
        <f t="shared" si="7"/>
        <v>-</v>
      </c>
      <c r="G54" s="247" t="str">
        <f t="shared" si="8"/>
        <v>-</v>
      </c>
      <c r="H54" s="244" t="str">
        <f t="shared" si="9"/>
        <v>-</v>
      </c>
      <c r="I54" s="20"/>
      <c r="J54" s="20"/>
      <c r="K54" s="20"/>
      <c r="L54" s="20"/>
      <c r="M54" s="20"/>
      <c r="N54" s="20"/>
      <c r="O54" s="20"/>
      <c r="P54" s="20"/>
      <c r="Q54" s="20"/>
      <c r="R54" s="20"/>
      <c r="S54" s="20"/>
      <c r="T54" s="20"/>
    </row>
    <row r="55" spans="1:20" hidden="1">
      <c r="A55" s="430"/>
      <c r="B55" s="256"/>
      <c r="C55" s="252" t="str">
        <f>IF(ISTEXT(B55), VLOOKUP(B55, Sheet1!$D$2:$E$37,2,FALSE),"-")</f>
        <v>-</v>
      </c>
      <c r="D55" s="250" t="str">
        <f t="shared" si="6"/>
        <v>-</v>
      </c>
      <c r="E55" s="149" t="str">
        <f>IF(ISNONTEXT(C55),A55*C55*'Labor Costs'!$C$11,"-")</f>
        <v>-</v>
      </c>
      <c r="F55" s="240" t="str">
        <f t="shared" si="7"/>
        <v>-</v>
      </c>
      <c r="G55" s="247" t="str">
        <f t="shared" si="8"/>
        <v>-</v>
      </c>
      <c r="H55" s="244" t="str">
        <f t="shared" si="9"/>
        <v>-</v>
      </c>
      <c r="I55" s="20"/>
      <c r="J55" s="20"/>
      <c r="K55" s="20"/>
      <c r="L55" s="20"/>
      <c r="M55" s="20"/>
      <c r="N55" s="20"/>
      <c r="O55" s="20"/>
      <c r="P55" s="20"/>
      <c r="Q55" s="20"/>
      <c r="R55" s="20"/>
      <c r="S55" s="20"/>
      <c r="T55" s="20"/>
    </row>
    <row r="56" spans="1:20" hidden="1">
      <c r="A56" s="430"/>
      <c r="B56" s="256"/>
      <c r="C56" s="252" t="str">
        <f>IF(ISTEXT(B56), VLOOKUP(B56, Sheet1!$D$2:$E$37,2,FALSE),"-")</f>
        <v>-</v>
      </c>
      <c r="D56" s="250" t="str">
        <f t="shared" si="6"/>
        <v>-</v>
      </c>
      <c r="E56" s="149" t="str">
        <f>IF(ISNONTEXT(C56),A56*C56*'Labor Costs'!$C$11,"-")</f>
        <v>-</v>
      </c>
      <c r="F56" s="240" t="str">
        <f t="shared" si="7"/>
        <v>-</v>
      </c>
      <c r="G56" s="247" t="str">
        <f t="shared" si="8"/>
        <v>-</v>
      </c>
      <c r="H56" s="244" t="str">
        <f t="shared" si="9"/>
        <v>-</v>
      </c>
      <c r="I56" s="20"/>
      <c r="J56" s="20"/>
      <c r="K56" s="20"/>
      <c r="L56" s="20"/>
      <c r="M56" s="20"/>
      <c r="N56" s="20"/>
      <c r="O56" s="20"/>
      <c r="P56" s="20"/>
      <c r="Q56" s="20"/>
      <c r="R56" s="20"/>
      <c r="S56" s="20"/>
      <c r="T56" s="20"/>
    </row>
    <row r="57" spans="1:20" hidden="1">
      <c r="A57" s="430"/>
      <c r="B57" s="256"/>
      <c r="C57" s="252" t="str">
        <f>IF(ISTEXT(B57), VLOOKUP(B57, Sheet1!$D$2:$E$37,2,FALSE),"-")</f>
        <v>-</v>
      </c>
      <c r="D57" s="250" t="str">
        <f t="shared" ref="D57:D58" si="10">IF(ISNONTEXT(C57),C57*A57,"-")</f>
        <v>-</v>
      </c>
      <c r="E57" s="149" t="str">
        <f>IF(ISNONTEXT(C57),A57*C57*'Labor Costs'!$C$11,"-")</f>
        <v>-</v>
      </c>
      <c r="F57" s="240" t="str">
        <f t="shared" ref="F57:F58" si="11">IF(ISNONTEXT(C57), SUM(D57,E57), "-")</f>
        <v>-</v>
      </c>
      <c r="G57" s="247" t="str">
        <f t="shared" si="8"/>
        <v>-</v>
      </c>
      <c r="H57" s="244" t="str">
        <f t="shared" si="9"/>
        <v>-</v>
      </c>
      <c r="I57" s="20"/>
      <c r="J57" s="20"/>
      <c r="K57" s="20"/>
      <c r="L57" s="20"/>
      <c r="M57" s="20"/>
      <c r="N57" s="20"/>
      <c r="O57" s="20"/>
      <c r="P57" s="20"/>
      <c r="Q57" s="20"/>
      <c r="R57" s="20"/>
      <c r="S57" s="20"/>
      <c r="T57" s="20"/>
    </row>
    <row r="58" spans="1:20" hidden="1">
      <c r="A58" s="430"/>
      <c r="B58" s="256"/>
      <c r="C58" s="252" t="str">
        <f>IF(ISTEXT(B58), VLOOKUP(B58, Sheet1!$D$2:$E$37,2,FALSE),"-")</f>
        <v>-</v>
      </c>
      <c r="D58" s="250" t="str">
        <f t="shared" si="10"/>
        <v>-</v>
      </c>
      <c r="E58" s="149" t="str">
        <f>IF(ISNONTEXT(C58),A58*C58*'Labor Costs'!$C$11,"-")</f>
        <v>-</v>
      </c>
      <c r="F58" s="240" t="str">
        <f t="shared" si="11"/>
        <v>-</v>
      </c>
      <c r="G58" s="247" t="str">
        <f t="shared" si="8"/>
        <v>-</v>
      </c>
      <c r="H58" s="244" t="str">
        <f t="shared" si="9"/>
        <v>-</v>
      </c>
      <c r="I58" s="20"/>
      <c r="J58" s="20"/>
      <c r="K58" s="20"/>
      <c r="L58" s="20"/>
      <c r="M58" s="20"/>
      <c r="N58" s="20"/>
      <c r="O58" s="20"/>
      <c r="P58" s="20"/>
      <c r="Q58" s="20"/>
      <c r="R58" s="20"/>
      <c r="S58" s="20"/>
      <c r="T58" s="20"/>
    </row>
    <row r="59" spans="1:20" hidden="1">
      <c r="A59" s="431"/>
      <c r="B59" s="257" t="s">
        <v>134</v>
      </c>
      <c r="C59" s="253"/>
      <c r="D59" s="260" t="str">
        <f t="shared" ref="D59:D62" si="12">IF(C59&gt;0,C59*A59,"-")</f>
        <v>-</v>
      </c>
      <c r="E59" s="150" t="str">
        <f>IF(C59&gt;0,A59*C59*'Labor Costs'!$C$11,"-")</f>
        <v>-</v>
      </c>
      <c r="F59" s="241" t="str">
        <f t="shared" ref="F59:F62" si="13">IF(C59&gt;0,SUM(D59,E59), "-")</f>
        <v>-</v>
      </c>
      <c r="G59" s="247" t="str">
        <f t="shared" si="8"/>
        <v>-</v>
      </c>
      <c r="H59" s="244" t="str">
        <f t="shared" si="9"/>
        <v>-</v>
      </c>
      <c r="I59" s="20"/>
      <c r="J59" s="20"/>
      <c r="K59" s="20"/>
      <c r="L59" s="20"/>
      <c r="M59" s="20"/>
      <c r="N59" s="20"/>
      <c r="O59" s="20"/>
      <c r="P59" s="20"/>
      <c r="Q59" s="20"/>
      <c r="R59" s="20"/>
      <c r="S59" s="20"/>
      <c r="T59" s="20"/>
    </row>
    <row r="60" spans="1:20" hidden="1">
      <c r="A60" s="431"/>
      <c r="B60" s="258" t="s">
        <v>134</v>
      </c>
      <c r="C60" s="253"/>
      <c r="D60" s="250" t="str">
        <f t="shared" si="12"/>
        <v>-</v>
      </c>
      <c r="E60" s="149" t="str">
        <f>IF(C60&gt;0,A60*C60*'Labor Costs'!$C$11,"-")</f>
        <v>-</v>
      </c>
      <c r="F60" s="240" t="str">
        <f t="shared" si="13"/>
        <v>-</v>
      </c>
      <c r="G60" s="247" t="str">
        <f t="shared" si="8"/>
        <v>-</v>
      </c>
      <c r="H60" s="244" t="str">
        <f t="shared" si="9"/>
        <v>-</v>
      </c>
      <c r="I60" s="20"/>
      <c r="J60" s="20"/>
      <c r="K60" s="20"/>
      <c r="L60" s="20"/>
      <c r="M60" s="20"/>
      <c r="N60" s="20"/>
      <c r="O60" s="20"/>
      <c r="P60" s="20"/>
      <c r="Q60" s="20"/>
      <c r="R60" s="20"/>
      <c r="S60" s="20"/>
      <c r="T60" s="20"/>
    </row>
    <row r="61" spans="1:20" hidden="1">
      <c r="A61" s="431"/>
      <c r="B61" s="258" t="s">
        <v>134</v>
      </c>
      <c r="C61" s="253"/>
      <c r="D61" s="250" t="str">
        <f t="shared" si="12"/>
        <v>-</v>
      </c>
      <c r="E61" s="149" t="str">
        <f>IF(C61&gt;0,A61*C61*'Labor Costs'!$C$11,"-")</f>
        <v>-</v>
      </c>
      <c r="F61" s="240" t="str">
        <f t="shared" si="13"/>
        <v>-</v>
      </c>
      <c r="G61" s="247" t="str">
        <f t="shared" si="8"/>
        <v>-</v>
      </c>
      <c r="H61" s="244" t="str">
        <f t="shared" si="9"/>
        <v>-</v>
      </c>
      <c r="I61" s="20"/>
      <c r="J61" s="20"/>
      <c r="K61" s="20"/>
      <c r="L61" s="20"/>
      <c r="M61" s="20"/>
      <c r="N61" s="20"/>
      <c r="O61" s="20"/>
      <c r="P61" s="20"/>
      <c r="Q61" s="20"/>
      <c r="R61" s="20"/>
      <c r="S61" s="20"/>
      <c r="T61" s="20"/>
    </row>
    <row r="62" spans="1:20">
      <c r="A62" s="431"/>
      <c r="B62" s="258" t="s">
        <v>134</v>
      </c>
      <c r="C62" s="253"/>
      <c r="D62" s="250" t="str">
        <f t="shared" si="12"/>
        <v>-</v>
      </c>
      <c r="E62" s="149" t="str">
        <f>IF(C62&gt;0,A62*C62*'Labor Costs'!$C$11,"-")</f>
        <v>-</v>
      </c>
      <c r="F62" s="240" t="str">
        <f t="shared" si="13"/>
        <v>-</v>
      </c>
      <c r="G62" s="247" t="str">
        <f t="shared" si="8"/>
        <v>-</v>
      </c>
      <c r="H62" s="244" t="str">
        <f t="shared" si="9"/>
        <v>-</v>
      </c>
      <c r="I62" s="20"/>
      <c r="J62" s="20"/>
      <c r="K62" s="20"/>
      <c r="L62" s="20"/>
      <c r="M62" s="20"/>
      <c r="N62" s="20"/>
      <c r="O62" s="20"/>
      <c r="P62" s="20"/>
      <c r="Q62" s="20"/>
      <c r="R62" s="20"/>
      <c r="S62" s="20"/>
      <c r="T62" s="20"/>
    </row>
    <row r="63" spans="1:20" ht="15" thickBot="1">
      <c r="A63" s="431"/>
      <c r="B63" s="259" t="s">
        <v>134</v>
      </c>
      <c r="C63" s="254"/>
      <c r="D63" s="261" t="str">
        <f>IF(C63&gt;0,C63*A63,"-")</f>
        <v>-</v>
      </c>
      <c r="E63" s="151" t="str">
        <f>IF(C63&gt;0,A63*C63*'Labor Costs'!$C$11,"-")</f>
        <v>-</v>
      </c>
      <c r="F63" s="242" t="str">
        <f>IF(C63&gt;0,SUM(D63,E63), "-")</f>
        <v>-</v>
      </c>
      <c r="G63" s="248" t="str">
        <f t="shared" si="8"/>
        <v>-</v>
      </c>
      <c r="H63" s="245" t="str">
        <f t="shared" si="9"/>
        <v>-</v>
      </c>
      <c r="I63" s="20"/>
      <c r="J63" s="20"/>
      <c r="K63" s="20"/>
      <c r="L63" s="20"/>
      <c r="M63" s="20"/>
      <c r="N63" s="20"/>
      <c r="O63" s="20"/>
      <c r="P63" s="20"/>
      <c r="Q63" s="20"/>
      <c r="R63" s="20"/>
      <c r="S63" s="20"/>
      <c r="T63" s="20"/>
    </row>
    <row r="64" spans="1:20" ht="30" customHeight="1">
      <c r="A64" s="153">
        <f>SUM(A39:A63)</f>
        <v>0</v>
      </c>
      <c r="B64" s="676" t="s">
        <v>135</v>
      </c>
      <c r="C64" s="677"/>
      <c r="D64" s="62"/>
      <c r="E64" s="152">
        <f>SUM(E39:E63)</f>
        <v>0</v>
      </c>
      <c r="F64" s="152">
        <f>SUM(F39:F63)</f>
        <v>0</v>
      </c>
      <c r="G64" s="152">
        <f>SUM(G39:G63)</f>
        <v>0</v>
      </c>
      <c r="H64" s="152">
        <f>SUM(H39:H63)</f>
        <v>0</v>
      </c>
      <c r="I64" s="20"/>
      <c r="J64" s="20"/>
      <c r="K64" s="20"/>
      <c r="L64" s="20"/>
      <c r="M64" s="20"/>
      <c r="N64" s="20"/>
      <c r="O64" s="20"/>
      <c r="P64" s="20"/>
      <c r="Q64" s="20"/>
      <c r="R64" s="20"/>
      <c r="S64" s="20"/>
      <c r="T64" s="20"/>
    </row>
    <row r="65" spans="1:20" ht="15" hidden="1">
      <c r="A65" s="643" t="s">
        <v>172</v>
      </c>
      <c r="B65" s="644"/>
      <c r="C65" s="147">
        <f>C23+C30+F64</f>
        <v>0</v>
      </c>
      <c r="D65" s="147">
        <f>D23+D30+G64</f>
        <v>0</v>
      </c>
      <c r="E65" s="147">
        <f>E23+E30+H64</f>
        <v>0</v>
      </c>
      <c r="F65" s="673"/>
      <c r="G65" s="674"/>
      <c r="H65" s="675"/>
      <c r="I65" s="20"/>
      <c r="J65" s="20"/>
      <c r="K65" s="20"/>
      <c r="L65" s="20"/>
      <c r="M65" s="20"/>
      <c r="N65" s="20"/>
      <c r="O65" s="20"/>
      <c r="P65" s="20"/>
      <c r="Q65" s="20"/>
      <c r="R65" s="20"/>
      <c r="S65" s="20"/>
      <c r="T65" s="20"/>
    </row>
    <row r="66" spans="1:20">
      <c r="A66" s="20"/>
      <c r="B66" s="20"/>
      <c r="C66" s="20"/>
      <c r="D66" s="20"/>
      <c r="E66" s="20"/>
      <c r="F66" s="20"/>
      <c r="G66" s="20"/>
      <c r="H66" s="20"/>
      <c r="I66" s="20"/>
      <c r="J66" s="20"/>
      <c r="K66" s="20"/>
      <c r="L66" s="20"/>
      <c r="M66" s="20"/>
      <c r="N66" s="20"/>
      <c r="O66" s="20"/>
      <c r="P66" s="20"/>
      <c r="Q66" s="20"/>
      <c r="R66" s="20"/>
      <c r="S66" s="20"/>
      <c r="T66" s="20"/>
    </row>
    <row r="67" spans="1:20">
      <c r="A67" s="20"/>
      <c r="B67" s="20"/>
      <c r="C67" s="20"/>
      <c r="D67" s="20"/>
      <c r="E67" s="20"/>
      <c r="F67" s="20"/>
      <c r="G67" s="20"/>
      <c r="H67" s="20"/>
      <c r="I67" s="20"/>
      <c r="J67" s="20"/>
      <c r="K67" s="20"/>
      <c r="L67" s="20"/>
      <c r="M67" s="20"/>
      <c r="N67" s="20"/>
      <c r="O67" s="20"/>
      <c r="P67" s="20"/>
      <c r="Q67" s="20"/>
      <c r="R67" s="20"/>
      <c r="S67" s="20"/>
      <c r="T67" s="20"/>
    </row>
    <row r="68" spans="1:20">
      <c r="A68" s="20"/>
      <c r="B68" s="20"/>
      <c r="C68" s="20"/>
      <c r="D68" s="20"/>
      <c r="E68" s="20"/>
      <c r="F68" s="20"/>
      <c r="G68" s="20"/>
      <c r="H68" s="20"/>
      <c r="I68" s="20"/>
      <c r="J68" s="20"/>
      <c r="K68" s="20"/>
      <c r="L68" s="20"/>
      <c r="M68" s="20"/>
      <c r="N68" s="20"/>
      <c r="O68" s="20"/>
      <c r="P68" s="20"/>
      <c r="Q68" s="20"/>
      <c r="R68" s="20"/>
      <c r="S68" s="20"/>
      <c r="T68" s="20"/>
    </row>
    <row r="69" spans="1:20">
      <c r="A69" s="20"/>
      <c r="B69" s="20"/>
      <c r="C69" s="20"/>
      <c r="D69" s="20"/>
      <c r="E69" s="20"/>
      <c r="F69" s="20"/>
      <c r="G69" s="20"/>
      <c r="H69" s="20"/>
      <c r="I69" s="20"/>
      <c r="J69" s="20"/>
      <c r="K69" s="20"/>
      <c r="L69" s="20"/>
      <c r="M69" s="20"/>
      <c r="N69" s="20"/>
      <c r="O69" s="20"/>
      <c r="P69" s="20"/>
      <c r="Q69" s="20"/>
      <c r="R69" s="20"/>
      <c r="S69" s="20"/>
      <c r="T69" s="20"/>
    </row>
    <row r="70" spans="1:20">
      <c r="A70" s="20"/>
      <c r="B70" s="20"/>
      <c r="C70" s="20"/>
      <c r="D70" s="20"/>
      <c r="E70" s="20"/>
      <c r="F70" s="20"/>
      <c r="G70" s="20"/>
      <c r="H70" s="20"/>
      <c r="I70" s="20"/>
      <c r="J70" s="20"/>
      <c r="K70" s="20"/>
      <c r="L70" s="20"/>
      <c r="M70" s="20"/>
      <c r="N70" s="20"/>
      <c r="O70" s="20"/>
      <c r="P70" s="20"/>
      <c r="Q70" s="20"/>
      <c r="R70" s="20"/>
      <c r="S70" s="20"/>
      <c r="T70" s="20"/>
    </row>
    <row r="71" spans="1:20">
      <c r="A71" s="20"/>
      <c r="B71" s="20"/>
      <c r="C71" s="20"/>
      <c r="D71" s="20"/>
      <c r="E71" s="20"/>
      <c r="F71" s="20"/>
      <c r="G71" s="20"/>
      <c r="H71" s="20"/>
      <c r="I71" s="20"/>
      <c r="J71" s="20"/>
      <c r="K71" s="20"/>
      <c r="L71" s="20"/>
      <c r="M71" s="20"/>
      <c r="N71" s="20"/>
      <c r="O71" s="20"/>
      <c r="P71" s="20"/>
      <c r="Q71" s="20"/>
      <c r="R71" s="20"/>
      <c r="S71" s="20"/>
      <c r="T71" s="20"/>
    </row>
    <row r="72" spans="1:20">
      <c r="A72" s="20"/>
      <c r="B72" s="20"/>
      <c r="C72" s="20"/>
      <c r="D72" s="20"/>
      <c r="E72" s="20"/>
      <c r="F72" s="20"/>
      <c r="G72" s="20"/>
      <c r="H72" s="20"/>
      <c r="I72" s="20"/>
      <c r="J72" s="20"/>
      <c r="K72" s="20"/>
      <c r="L72" s="20"/>
      <c r="M72" s="20"/>
      <c r="N72" s="20"/>
      <c r="O72" s="20"/>
      <c r="P72" s="20"/>
      <c r="Q72" s="20"/>
      <c r="R72" s="20"/>
      <c r="S72" s="20"/>
      <c r="T72" s="20"/>
    </row>
    <row r="73" spans="1:20">
      <c r="A73" s="20"/>
      <c r="B73" s="20"/>
      <c r="C73" s="20"/>
      <c r="D73" s="20"/>
      <c r="E73" s="20"/>
      <c r="F73" s="20"/>
      <c r="G73" s="20"/>
      <c r="H73" s="20"/>
      <c r="I73" s="20"/>
      <c r="J73" s="20"/>
      <c r="K73" s="20"/>
      <c r="L73" s="20"/>
      <c r="M73" s="20"/>
      <c r="N73" s="20"/>
      <c r="O73" s="20"/>
      <c r="P73" s="20"/>
      <c r="Q73" s="20"/>
      <c r="R73" s="20"/>
      <c r="S73" s="20"/>
      <c r="T73" s="20"/>
    </row>
    <row r="74" spans="1:20">
      <c r="A74" s="20"/>
      <c r="B74" s="20"/>
      <c r="C74" s="20"/>
      <c r="D74" s="20"/>
      <c r="E74" s="20"/>
      <c r="F74" s="20"/>
      <c r="G74" s="20"/>
      <c r="H74" s="20"/>
      <c r="I74" s="20"/>
      <c r="J74" s="20"/>
      <c r="K74" s="20"/>
      <c r="L74" s="20"/>
      <c r="M74" s="20"/>
      <c r="N74" s="20"/>
      <c r="O74" s="20"/>
      <c r="P74" s="20"/>
      <c r="Q74" s="20"/>
      <c r="R74" s="20"/>
      <c r="S74" s="20"/>
      <c r="T74" s="20"/>
    </row>
    <row r="75" spans="1:20">
      <c r="A75" s="20"/>
      <c r="B75" s="20"/>
      <c r="C75" s="20"/>
      <c r="D75" s="20"/>
      <c r="E75" s="20"/>
      <c r="F75" s="20"/>
      <c r="G75" s="20"/>
      <c r="H75" s="20"/>
      <c r="I75" s="20"/>
      <c r="J75" s="20"/>
      <c r="K75" s="20"/>
      <c r="L75" s="20"/>
      <c r="M75" s="20"/>
      <c r="N75" s="20"/>
      <c r="O75" s="20"/>
      <c r="P75" s="20"/>
      <c r="Q75" s="20"/>
      <c r="R75" s="20"/>
      <c r="S75" s="20"/>
      <c r="T75" s="20"/>
    </row>
    <row r="76" spans="1:20">
      <c r="A76" s="20"/>
      <c r="B76" s="20"/>
      <c r="C76" s="20"/>
      <c r="D76" s="20"/>
      <c r="E76" s="20"/>
      <c r="F76" s="20"/>
      <c r="G76" s="20"/>
      <c r="H76" s="20"/>
      <c r="I76" s="20"/>
      <c r="J76" s="20"/>
      <c r="K76" s="20"/>
      <c r="L76" s="20"/>
      <c r="M76" s="20"/>
      <c r="N76" s="20"/>
      <c r="O76" s="20"/>
      <c r="P76" s="20"/>
      <c r="Q76" s="20"/>
      <c r="R76" s="20"/>
      <c r="S76" s="20"/>
      <c r="T76" s="20"/>
    </row>
    <row r="77" spans="1:20">
      <c r="A77" s="20"/>
      <c r="B77" s="20"/>
      <c r="C77" s="20"/>
      <c r="D77" s="20"/>
      <c r="E77" s="20"/>
      <c r="F77" s="20"/>
      <c r="G77" s="20"/>
      <c r="H77" s="20"/>
      <c r="I77" s="20"/>
      <c r="J77" s="20"/>
      <c r="K77" s="20"/>
      <c r="L77" s="20"/>
      <c r="M77" s="20"/>
      <c r="N77" s="20"/>
      <c r="O77" s="20"/>
      <c r="P77" s="20"/>
      <c r="Q77" s="20"/>
      <c r="R77" s="20"/>
      <c r="S77" s="20"/>
      <c r="T77" s="20"/>
    </row>
    <row r="78" spans="1:20">
      <c r="A78" s="20"/>
      <c r="B78" s="20"/>
      <c r="C78" s="20"/>
      <c r="D78" s="20"/>
      <c r="E78" s="20"/>
      <c r="F78" s="20"/>
      <c r="G78" s="20"/>
      <c r="H78" s="20"/>
      <c r="I78" s="20"/>
      <c r="J78" s="20"/>
      <c r="K78" s="20"/>
      <c r="L78" s="20"/>
      <c r="M78" s="20"/>
      <c r="N78" s="20"/>
      <c r="O78" s="20"/>
      <c r="P78" s="20"/>
      <c r="Q78" s="20"/>
      <c r="R78" s="20"/>
      <c r="S78" s="20"/>
      <c r="T78" s="20"/>
    </row>
  </sheetData>
  <sheetProtection sheet="1" objects="1" scenarios="1"/>
  <mergeCells count="43">
    <mergeCell ref="J36:Q37"/>
    <mergeCell ref="J38:Q49"/>
    <mergeCell ref="J4:Q4"/>
    <mergeCell ref="F30:H30"/>
    <mergeCell ref="F22:H22"/>
    <mergeCell ref="F23:H23"/>
    <mergeCell ref="F24:H24"/>
    <mergeCell ref="F25:H25"/>
    <mergeCell ref="F26:H26"/>
    <mergeCell ref="J5:Q10"/>
    <mergeCell ref="J17:Q17"/>
    <mergeCell ref="J18:Q22"/>
    <mergeCell ref="J24:Q24"/>
    <mergeCell ref="J25:Q29"/>
    <mergeCell ref="F29:H29"/>
    <mergeCell ref="A10:B10"/>
    <mergeCell ref="A17:B17"/>
    <mergeCell ref="A23:B23"/>
    <mergeCell ref="A36:H37"/>
    <mergeCell ref="A13:B14"/>
    <mergeCell ref="F17:H17"/>
    <mergeCell ref="F18:H18"/>
    <mergeCell ref="F19:H19"/>
    <mergeCell ref="F20:H20"/>
    <mergeCell ref="F21:H21"/>
    <mergeCell ref="F27:H27"/>
    <mergeCell ref="F28:H28"/>
    <mergeCell ref="A65:B65"/>
    <mergeCell ref="A33:C33"/>
    <mergeCell ref="A34:C34"/>
    <mergeCell ref="A7:B7"/>
    <mergeCell ref="A1:I1"/>
    <mergeCell ref="A6:B6"/>
    <mergeCell ref="A8:B8"/>
    <mergeCell ref="A5:B5"/>
    <mergeCell ref="A4:D4"/>
    <mergeCell ref="E6:H10"/>
    <mergeCell ref="E5:H5"/>
    <mergeCell ref="A2:I2"/>
    <mergeCell ref="F65:H65"/>
    <mergeCell ref="B64:C64"/>
    <mergeCell ref="A30:B30"/>
    <mergeCell ref="A9:B9"/>
  </mergeCells>
  <conditionalFormatting sqref="A13 A18:A30 A65">
    <cfRule type="containsText" dxfId="3" priority="5" operator="containsText" text="[">
      <formula>NOT(ISERROR(SEARCH("[",A13)))</formula>
    </cfRule>
  </conditionalFormatting>
  <conditionalFormatting sqref="A33:A34">
    <cfRule type="containsText" dxfId="2" priority="1" operator="containsText" text="[">
      <formula>NOT(ISERROR(SEARCH("[",A33)))</formula>
    </cfRule>
  </conditionalFormatting>
  <conditionalFormatting sqref="A8:B9">
    <cfRule type="containsText" dxfId="1" priority="3" operator="containsText" text="FILL IN UNITS ON CURRENT EQ TAB">
      <formula>NOT(ISERROR(SEARCH("FILL IN UNITS ON CURRENT EQ TAB",A8)))</formula>
    </cfRule>
  </conditionalFormatting>
  <conditionalFormatting sqref="B18:B22 B24:B29">
    <cfRule type="containsText" dxfId="0" priority="6" operator="containsText" text="[">
      <formula>NOT(ISERROR(SEARCH("[",B18)))</formula>
    </cfRule>
  </conditionalFormatting>
  <dataValidations count="15">
    <dataValidation allowBlank="1" showInputMessage="1" showErrorMessage="1" promptTitle="Total Pieces of Equipment" prompt="The number in this section will depend on what is being requested:_x000a__x000a_Printing equipment - total pieces of print equipment_x000a_Bindery/Finishing - total pieces of bindery/finishing equipment_x000a_Inserter/other - Total pieces of inserter or other equipment" sqref="A6:B6" xr:uid="{FF2E83B0-6949-4A4F-B8A4-2ED53F2AECE6}"/>
    <dataValidation allowBlank="1" showInputMessage="1" showErrorMessage="1" prompt="This number should show the total number of pages produced by the requested equipment, or pieces produced by bindery/finishing equipment for the requesting in-plant" sqref="A8:B8" xr:uid="{3FDAF560-CE8B-4F61-A32A-B80D04CA438F}"/>
    <dataValidation allowBlank="1" showInputMessage="1" showErrorMessage="1" prompt="This number should reflect the number of pages or pieces projected to be produced by the existing/proposed equipment respectively" sqref="A9:B9" xr:uid="{EE6BF628-B050-4160-A9F1-4901B2B0B59A}"/>
    <dataValidation allowBlank="1" showInputMessage="1" showErrorMessage="1" promptTitle="General Operations" prompt="This is the general cost of running your in-plant. It would potentially include travel, training, paper expenditures, etc. It should not include personnel" sqref="B18" xr:uid="{96501DC4-5112-4E25-870C-C33E02AF5815}"/>
    <dataValidation allowBlank="1" showInputMessage="1" showErrorMessage="1" prompt="If your in-plant has dedicated IT support with more than 50% of at lease one position dedicated to supporting in-plant IT services, this section applies and should include personnel costs." sqref="B19" xr:uid="{1FFE36E4-3354-4B09-BE34-2F03B252140D}"/>
    <dataValidation allowBlank="1" showInputMessage="1" showErrorMessage="1" promptTitle="Contracts Support" prompt="If your in-plant has dedicated contract support with more than 50% one position dedicated to supporting in-plant contracts, this section applies and should include personnel costs." sqref="B20" xr:uid="{B783DC71-BB57-4C10-A90D-934D3C3D449B}"/>
    <dataValidation allowBlank="1" showInputMessage="1" showErrorMessage="1" promptTitle="Professional Services" prompt="Professional Services are services provided by an external vendor to support or develop software products such as Free Flow Core or Ricoh Process Director" sqref="B21" xr:uid="{890907B8-CBEA-4E09-BBE3-93BE2ABD9D60}"/>
    <dataValidation allowBlank="1" showInputMessage="1" showErrorMessage="1" promptTitle="Software Expenses" prompt="This is additional software expenses related to print/design/etc. and is usually purchased/serviced separately from a printer, such as Free Flow Core or Ricoh Process Director" sqref="B22" xr:uid="{AB60F313-4B5B-465A-B1BB-13F6AD6D05AF}"/>
    <dataValidation allowBlank="1" showInputMessage="1" showErrorMessage="1" promptTitle="Statewide Pro Rata" prompt="The Pro Rata is a representation of the costs State Departments must repay annually into the General fund. It is basically the cost of paying for department staff. " sqref="B24" xr:uid="{4420A155-6A02-4ED1-9990-CFEA061CCF5B}"/>
    <dataValidation allowBlank="1" showInputMessage="1" showErrorMessage="1" promptTitle="Departmental Overhead" prompt="Departmental Overhead is a value based on all internal services a department provides that the in-plant does not have to pay for such as legal services, HR/Admin, IT, contracts, etc." sqref="B25" xr:uid="{44CAC734-E1A0-4207-B2D8-26F4539B6501}"/>
    <dataValidation allowBlank="1" showInputMessage="1" showErrorMessage="1" promptTitle="Program Overhead" prompt="The program overhead is additional overhead your department may have, not including support staff. Most in-plants leave this blank because they are part of administration and their overhead is part of departmental overhead." sqref="B26" xr:uid="{DFB74199-1AF7-481C-B2BB-7703E13B1516}"/>
    <dataValidation allowBlank="1" showInputMessage="1" showErrorMessage="1" prompt="The cost of the real estate your in-plant is housed in." sqref="B27" xr:uid="{B16EB66A-03B7-47BE-94E6-DAE570E2B5B7}"/>
    <dataValidation allowBlank="1" showInputMessage="1" showErrorMessage="1" promptTitle="Other" prompt="Any Overhead Funds that may not fit into the categories listed above." sqref="B28" xr:uid="{D9954B9E-E65E-4405-9087-51D9192AF6C9}"/>
    <dataValidation allowBlank="1" showInputMessage="1" showErrorMessage="1" prompt="Gas/Electrical/Water" sqref="B29" xr:uid="{4E2DF526-D1F2-4CC7-A774-F5584A401730}"/>
    <dataValidation allowBlank="1" showInputMessage="1" showErrorMessage="1" promptTitle="Total Pieces of Equipment" sqref="A7:B7" xr:uid="{5F5CDDE3-26CB-4B4C-901C-DC144EA53C6B}"/>
  </dataValidations>
  <pageMargins left="0.7" right="0.7" top="0.75" bottom="0.75" header="0.3" footer="0.3"/>
  <pageSetup orientation="portrait" horizontalDpi="1200" verticalDpi="1200" r:id="rId1"/>
  <ignoredErrors>
    <ignoredError sqref="D23:E23"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98BF6710-E785-423E-BA7E-B5D243BBF4B7}">
          <x14:formula1>
            <xm:f>Sheet1!$D$2:$D$37</xm:f>
          </x14:formula1>
          <xm:sqref>B39:B58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98D29-AB4C-402E-BE86-1294514C796D}">
  <dimension ref="A1:F41"/>
  <sheetViews>
    <sheetView topLeftCell="A16" workbookViewId="0">
      <selection activeCell="D25" sqref="D25"/>
    </sheetView>
  </sheetViews>
  <sheetFormatPr defaultRowHeight="15"/>
  <cols>
    <col min="1" max="1" width="43.85546875" customWidth="1"/>
    <col min="2" max="2" width="13.7109375" customWidth="1"/>
    <col min="3" max="3" width="11.42578125" customWidth="1"/>
    <col min="4" max="4" width="43.85546875" customWidth="1"/>
    <col min="5" max="5" width="17" customWidth="1"/>
    <col min="6" max="6" width="9.28515625" bestFit="1" customWidth="1"/>
  </cols>
  <sheetData>
    <row r="1" spans="1:6">
      <c r="A1" s="15" t="s">
        <v>125</v>
      </c>
      <c r="B1" t="s">
        <v>173</v>
      </c>
      <c r="C1" t="s">
        <v>174</v>
      </c>
      <c r="D1" s="15" t="s">
        <v>125</v>
      </c>
      <c r="E1" t="s">
        <v>173</v>
      </c>
      <c r="F1" t="s">
        <v>174</v>
      </c>
    </row>
    <row r="2" spans="1:6">
      <c r="A2" s="2" t="s">
        <v>175</v>
      </c>
      <c r="B2" s="6">
        <f>C2*12</f>
        <v>90564</v>
      </c>
      <c r="C2" s="398">
        <v>7547</v>
      </c>
      <c r="D2" s="21" t="s">
        <v>176</v>
      </c>
      <c r="E2" s="22">
        <f>F2*12</f>
        <v>126996</v>
      </c>
      <c r="F2" s="398">
        <v>10583</v>
      </c>
    </row>
    <row r="3" spans="1:6">
      <c r="A3" s="2" t="s">
        <v>177</v>
      </c>
      <c r="B3" s="6">
        <f>C3*12</f>
        <v>106764</v>
      </c>
      <c r="C3" s="398">
        <v>8897</v>
      </c>
      <c r="D3" s="21" t="s">
        <v>178</v>
      </c>
      <c r="E3" s="22">
        <f>F3*12</f>
        <v>133368</v>
      </c>
      <c r="F3" s="398">
        <v>11114</v>
      </c>
    </row>
    <row r="4" spans="1:6">
      <c r="A4" s="2" t="s">
        <v>179</v>
      </c>
      <c r="B4" s="6">
        <f>C4*12</f>
        <v>59664</v>
      </c>
      <c r="C4" s="398">
        <v>4972</v>
      </c>
      <c r="D4" s="23" t="s">
        <v>180</v>
      </c>
      <c r="E4" s="22">
        <f>F4*12</f>
        <v>77568</v>
      </c>
      <c r="F4" s="398">
        <v>6464</v>
      </c>
    </row>
    <row r="5" spans="1:6">
      <c r="A5" s="2" t="s">
        <v>181</v>
      </c>
      <c r="B5" s="6">
        <f t="shared" ref="B5:B26" si="0">C5*12</f>
        <v>67092</v>
      </c>
      <c r="C5" s="398">
        <v>5591</v>
      </c>
      <c r="D5" s="21" t="s">
        <v>182</v>
      </c>
      <c r="E5" s="22">
        <f t="shared" ref="E5:E37" si="1">F5*12</f>
        <v>93300</v>
      </c>
      <c r="F5" s="398">
        <v>7775</v>
      </c>
    </row>
    <row r="6" spans="1:6">
      <c r="A6" s="3" t="s">
        <v>183</v>
      </c>
      <c r="B6" s="6">
        <f t="shared" si="0"/>
        <v>74520</v>
      </c>
      <c r="C6" s="398">
        <v>6210</v>
      </c>
      <c r="D6" s="26" t="s">
        <v>184</v>
      </c>
      <c r="E6" s="22">
        <f t="shared" si="1"/>
        <v>99564</v>
      </c>
      <c r="F6" s="398">
        <v>8297</v>
      </c>
    </row>
    <row r="7" spans="1:6">
      <c r="A7" s="2" t="s">
        <v>185</v>
      </c>
      <c r="B7" s="6">
        <f t="shared" si="0"/>
        <v>67248</v>
      </c>
      <c r="C7" s="398">
        <v>5604</v>
      </c>
      <c r="D7" s="23" t="s">
        <v>175</v>
      </c>
      <c r="E7" s="22">
        <f t="shared" si="1"/>
        <v>90564</v>
      </c>
      <c r="F7" s="398">
        <f>C2</f>
        <v>7547</v>
      </c>
    </row>
    <row r="8" spans="1:6">
      <c r="A8" s="2" t="s">
        <v>186</v>
      </c>
      <c r="B8" s="6">
        <f t="shared" si="0"/>
        <v>77568</v>
      </c>
      <c r="C8" s="398">
        <v>6464</v>
      </c>
      <c r="D8" s="21" t="s">
        <v>177</v>
      </c>
      <c r="E8" s="22">
        <f t="shared" si="1"/>
        <v>106764</v>
      </c>
      <c r="F8" s="398">
        <f>C3</f>
        <v>8897</v>
      </c>
    </row>
    <row r="9" spans="1:6">
      <c r="A9" s="2" t="s">
        <v>187</v>
      </c>
      <c r="B9" s="6">
        <f t="shared" si="0"/>
        <v>80628</v>
      </c>
      <c r="C9" s="398">
        <v>6719</v>
      </c>
      <c r="D9" s="26" t="s">
        <v>185</v>
      </c>
      <c r="E9" s="22">
        <f t="shared" si="1"/>
        <v>67248</v>
      </c>
      <c r="F9" s="398">
        <f>C7</f>
        <v>5604</v>
      </c>
    </row>
    <row r="10" spans="1:6">
      <c r="A10" s="2" t="s">
        <v>188</v>
      </c>
      <c r="B10" s="6">
        <f t="shared" si="0"/>
        <v>82560</v>
      </c>
      <c r="C10" s="398">
        <v>6880</v>
      </c>
      <c r="D10" s="26" t="s">
        <v>186</v>
      </c>
      <c r="E10" s="22">
        <f t="shared" si="1"/>
        <v>77568</v>
      </c>
      <c r="F10" s="398">
        <f>C8</f>
        <v>6464</v>
      </c>
    </row>
    <row r="11" spans="1:6">
      <c r="A11" s="2" t="s">
        <v>189</v>
      </c>
      <c r="B11" s="6">
        <f t="shared" si="0"/>
        <v>88608</v>
      </c>
      <c r="C11" s="398">
        <v>7384</v>
      </c>
      <c r="D11" s="21" t="s">
        <v>187</v>
      </c>
      <c r="E11" s="22">
        <f t="shared" si="1"/>
        <v>80628</v>
      </c>
      <c r="F11" s="398">
        <f>C9</f>
        <v>6719</v>
      </c>
    </row>
    <row r="12" spans="1:6">
      <c r="A12" s="2" t="s">
        <v>190</v>
      </c>
      <c r="B12" s="6">
        <f t="shared" si="0"/>
        <v>97272</v>
      </c>
      <c r="C12" s="398">
        <v>8106</v>
      </c>
      <c r="D12" s="21" t="s">
        <v>189</v>
      </c>
      <c r="E12" s="22">
        <f t="shared" si="1"/>
        <v>88608</v>
      </c>
      <c r="F12" s="398">
        <f>C11</f>
        <v>7384</v>
      </c>
    </row>
    <row r="13" spans="1:6">
      <c r="A13" s="4" t="s">
        <v>191</v>
      </c>
      <c r="B13" s="6">
        <f t="shared" si="0"/>
        <v>69768</v>
      </c>
      <c r="C13" s="398">
        <v>5814</v>
      </c>
      <c r="D13" s="21" t="s">
        <v>190</v>
      </c>
      <c r="E13" s="22">
        <f t="shared" si="1"/>
        <v>97272</v>
      </c>
      <c r="F13" s="398">
        <f>C12</f>
        <v>8106</v>
      </c>
    </row>
    <row r="14" spans="1:6">
      <c r="A14" s="2" t="s">
        <v>192</v>
      </c>
      <c r="B14" s="6">
        <f t="shared" si="0"/>
        <v>82488</v>
      </c>
      <c r="C14" s="398">
        <v>6874</v>
      </c>
      <c r="D14" s="21" t="s">
        <v>193</v>
      </c>
      <c r="E14" s="22">
        <f t="shared" si="1"/>
        <v>85788</v>
      </c>
      <c r="F14" s="398">
        <v>7149</v>
      </c>
    </row>
    <row r="15" spans="1:6">
      <c r="A15" s="2" t="s">
        <v>194</v>
      </c>
      <c r="B15" s="6">
        <f t="shared" si="0"/>
        <v>91848</v>
      </c>
      <c r="C15" s="398">
        <v>7654</v>
      </c>
      <c r="D15" s="25" t="s">
        <v>191</v>
      </c>
      <c r="E15" s="22">
        <f t="shared" si="1"/>
        <v>69768</v>
      </c>
      <c r="F15" s="398">
        <f>C13</f>
        <v>5814</v>
      </c>
    </row>
    <row r="16" spans="1:6">
      <c r="A16" s="2" t="s">
        <v>195</v>
      </c>
      <c r="B16" s="6">
        <f t="shared" si="0"/>
        <v>57492</v>
      </c>
      <c r="C16" s="398">
        <v>4791</v>
      </c>
      <c r="D16" s="21" t="s">
        <v>192</v>
      </c>
      <c r="E16" s="22">
        <f t="shared" si="1"/>
        <v>82488</v>
      </c>
      <c r="F16" s="398">
        <f t="shared" ref="F16:F17" si="2">C14</f>
        <v>6874</v>
      </c>
    </row>
    <row r="17" spans="1:6">
      <c r="A17" s="2" t="s">
        <v>196</v>
      </c>
      <c r="B17" s="6">
        <f t="shared" si="0"/>
        <v>61416</v>
      </c>
      <c r="C17" s="398">
        <v>5118</v>
      </c>
      <c r="D17" s="21" t="s">
        <v>194</v>
      </c>
      <c r="E17" s="22">
        <f t="shared" si="1"/>
        <v>91848</v>
      </c>
      <c r="F17" s="398">
        <f t="shared" si="2"/>
        <v>7654</v>
      </c>
    </row>
    <row r="18" spans="1:6">
      <c r="A18" s="2" t="s">
        <v>197</v>
      </c>
      <c r="B18" s="6">
        <f t="shared" si="0"/>
        <v>71208</v>
      </c>
      <c r="C18" s="398">
        <v>5934</v>
      </c>
      <c r="D18" s="23" t="s">
        <v>198</v>
      </c>
      <c r="E18" s="22">
        <f t="shared" si="1"/>
        <v>80628</v>
      </c>
      <c r="F18" s="398">
        <v>6719</v>
      </c>
    </row>
    <row r="19" spans="1:6">
      <c r="A19" s="2" t="s">
        <v>199</v>
      </c>
      <c r="B19" s="6">
        <f t="shared" si="0"/>
        <v>108048</v>
      </c>
      <c r="C19" s="398">
        <v>9004</v>
      </c>
      <c r="D19" s="23" t="s">
        <v>199</v>
      </c>
      <c r="E19" s="22">
        <f t="shared" si="1"/>
        <v>108048</v>
      </c>
      <c r="F19" s="398">
        <f>C19</f>
        <v>9004</v>
      </c>
    </row>
    <row r="20" spans="1:6">
      <c r="A20" s="2" t="s">
        <v>200</v>
      </c>
      <c r="B20" s="6">
        <f t="shared" si="0"/>
        <v>130224</v>
      </c>
      <c r="C20" s="398">
        <v>10852</v>
      </c>
      <c r="D20" s="23" t="s">
        <v>201</v>
      </c>
      <c r="E20" s="22">
        <f t="shared" si="1"/>
        <v>150948</v>
      </c>
      <c r="F20" s="398">
        <v>12579</v>
      </c>
    </row>
    <row r="21" spans="1:6">
      <c r="A21" s="2" t="s">
        <v>202</v>
      </c>
      <c r="B21" s="6">
        <f t="shared" si="0"/>
        <v>142860</v>
      </c>
      <c r="C21" s="398">
        <v>11905</v>
      </c>
      <c r="D21" s="23" t="s">
        <v>200</v>
      </c>
      <c r="E21" s="22">
        <f t="shared" si="1"/>
        <v>130224</v>
      </c>
      <c r="F21" s="398">
        <f>C20</f>
        <v>10852</v>
      </c>
    </row>
    <row r="22" spans="1:6">
      <c r="A22" s="2" t="s">
        <v>203</v>
      </c>
      <c r="B22" s="6">
        <f t="shared" si="0"/>
        <v>49788</v>
      </c>
      <c r="C22" s="398">
        <v>4149</v>
      </c>
      <c r="D22" s="23" t="s">
        <v>202</v>
      </c>
      <c r="E22" s="22">
        <f t="shared" si="1"/>
        <v>142860</v>
      </c>
      <c r="F22" s="398">
        <f>C21</f>
        <v>11905</v>
      </c>
    </row>
    <row r="23" spans="1:6">
      <c r="A23" s="2" t="s">
        <v>204</v>
      </c>
      <c r="B23" s="6">
        <f t="shared" si="0"/>
        <v>52212</v>
      </c>
      <c r="C23" s="398">
        <v>4351</v>
      </c>
      <c r="D23" s="23" t="s">
        <v>205</v>
      </c>
      <c r="E23" s="22">
        <f t="shared" si="1"/>
        <v>136740</v>
      </c>
      <c r="F23" s="398">
        <v>11395</v>
      </c>
    </row>
    <row r="24" spans="1:6">
      <c r="A24" s="2" t="s">
        <v>206</v>
      </c>
      <c r="B24" s="6">
        <f t="shared" si="0"/>
        <v>55620</v>
      </c>
      <c r="C24">
        <v>4635</v>
      </c>
      <c r="D24" s="23" t="s">
        <v>207</v>
      </c>
      <c r="E24" s="22">
        <f t="shared" si="1"/>
        <v>81720</v>
      </c>
      <c r="F24" s="398">
        <v>6810</v>
      </c>
    </row>
    <row r="25" spans="1:6">
      <c r="A25" s="2" t="s">
        <v>208</v>
      </c>
      <c r="B25" s="6">
        <f t="shared" si="0"/>
        <v>60492</v>
      </c>
      <c r="C25">
        <v>5041</v>
      </c>
      <c r="D25" s="23" t="s">
        <v>209</v>
      </c>
      <c r="E25" s="22">
        <f>F25*12</f>
        <v>117372</v>
      </c>
      <c r="F25" s="398">
        <v>9781</v>
      </c>
    </row>
    <row r="26" spans="1:6">
      <c r="A26" s="2" t="s">
        <v>210</v>
      </c>
      <c r="B26" s="6">
        <f t="shared" si="0"/>
        <v>56088</v>
      </c>
      <c r="C26" s="398">
        <v>4674</v>
      </c>
      <c r="D26" s="23" t="s">
        <v>211</v>
      </c>
      <c r="E26" s="22">
        <f>F26*12</f>
        <v>130404</v>
      </c>
      <c r="F26" s="398">
        <v>10867</v>
      </c>
    </row>
    <row r="27" spans="1:6">
      <c r="A27" s="2" t="s">
        <v>212</v>
      </c>
      <c r="B27" s="6">
        <f>C27*12</f>
        <v>63612</v>
      </c>
      <c r="C27" s="398">
        <v>5301</v>
      </c>
      <c r="D27" s="24" t="s">
        <v>213</v>
      </c>
      <c r="E27" s="22">
        <f t="shared" si="1"/>
        <v>59232</v>
      </c>
      <c r="F27" s="398">
        <v>4936</v>
      </c>
    </row>
    <row r="28" spans="1:6">
      <c r="A28" s="2" t="s">
        <v>214</v>
      </c>
      <c r="B28" s="6">
        <f>C28*12</f>
        <v>45384</v>
      </c>
      <c r="C28" s="398">
        <v>3782</v>
      </c>
      <c r="D28" s="26" t="s">
        <v>215</v>
      </c>
      <c r="E28" s="22">
        <f t="shared" si="1"/>
        <v>72972</v>
      </c>
      <c r="F28" s="398">
        <f>C29</f>
        <v>6081</v>
      </c>
    </row>
    <row r="29" spans="1:6">
      <c r="A29" s="2" t="s">
        <v>215</v>
      </c>
      <c r="B29" s="6">
        <f>C29*12</f>
        <v>72972</v>
      </c>
      <c r="C29" s="398">
        <v>6081</v>
      </c>
      <c r="D29" s="21" t="s">
        <v>216</v>
      </c>
      <c r="E29" s="22">
        <f t="shared" si="1"/>
        <v>84720</v>
      </c>
      <c r="F29" s="398">
        <f>C30</f>
        <v>7060</v>
      </c>
    </row>
    <row r="30" spans="1:6">
      <c r="A30" s="2" t="s">
        <v>216</v>
      </c>
      <c r="B30" s="6">
        <f>C30*12</f>
        <v>84720</v>
      </c>
      <c r="C30" s="398">
        <v>7060</v>
      </c>
      <c r="D30" s="21" t="s">
        <v>217</v>
      </c>
      <c r="E30" s="22">
        <f t="shared" si="1"/>
        <v>125784</v>
      </c>
      <c r="F30" s="398">
        <v>10482</v>
      </c>
    </row>
    <row r="31" spans="1:6">
      <c r="A31" s="2" t="s">
        <v>218</v>
      </c>
      <c r="B31" s="6">
        <f>C31*12</f>
        <v>66648</v>
      </c>
      <c r="C31" s="398">
        <v>5554</v>
      </c>
      <c r="D31" s="21" t="s">
        <v>219</v>
      </c>
      <c r="E31" s="22">
        <f t="shared" si="1"/>
        <v>132048</v>
      </c>
      <c r="F31" s="398">
        <v>11004</v>
      </c>
    </row>
    <row r="32" spans="1:6">
      <c r="A32" s="4" t="s">
        <v>220</v>
      </c>
      <c r="B32" s="6">
        <f>C32*12</f>
        <v>55836</v>
      </c>
      <c r="C32" s="398">
        <v>4653</v>
      </c>
      <c r="D32" s="25" t="s">
        <v>221</v>
      </c>
      <c r="E32" s="22">
        <f t="shared" si="1"/>
        <v>63408</v>
      </c>
      <c r="F32" s="398">
        <f>C33</f>
        <v>5284</v>
      </c>
    </row>
    <row r="33" spans="1:6">
      <c r="A33" s="4" t="s">
        <v>221</v>
      </c>
      <c r="B33" s="6">
        <f>C33*12</f>
        <v>63408</v>
      </c>
      <c r="C33" s="398">
        <v>5284</v>
      </c>
      <c r="D33" s="24" t="s">
        <v>222</v>
      </c>
      <c r="E33" s="22">
        <f t="shared" si="1"/>
        <v>78372</v>
      </c>
      <c r="F33" s="398">
        <f>C34</f>
        <v>6531</v>
      </c>
    </row>
    <row r="34" spans="1:6">
      <c r="A34" s="4" t="s">
        <v>222</v>
      </c>
      <c r="B34" s="6">
        <f>C34*12</f>
        <v>78372</v>
      </c>
      <c r="C34" s="398">
        <v>6531</v>
      </c>
      <c r="D34" s="23" t="s">
        <v>223</v>
      </c>
      <c r="E34" s="22">
        <f t="shared" si="1"/>
        <v>51216</v>
      </c>
      <c r="F34" s="398">
        <v>4268</v>
      </c>
    </row>
    <row r="35" spans="1:6">
      <c r="A35" s="4" t="s">
        <v>224</v>
      </c>
      <c r="B35" s="6">
        <f>C35*12</f>
        <v>86892</v>
      </c>
      <c r="C35" s="398">
        <v>7241</v>
      </c>
      <c r="D35" s="23" t="s">
        <v>225</v>
      </c>
      <c r="E35" s="22">
        <f>F35*12</f>
        <v>106920</v>
      </c>
      <c r="F35" s="398">
        <v>8910</v>
      </c>
    </row>
    <row r="36" spans="1:6">
      <c r="A36" s="2" t="s">
        <v>226</v>
      </c>
      <c r="B36" s="6">
        <f>C36*12</f>
        <v>89772</v>
      </c>
      <c r="C36" s="398">
        <v>7481</v>
      </c>
      <c r="D36" s="23" t="s">
        <v>227</v>
      </c>
      <c r="E36" s="22">
        <f t="shared" si="1"/>
        <v>86112</v>
      </c>
      <c r="F36" s="398">
        <f>C41</f>
        <v>7176</v>
      </c>
    </row>
    <row r="37" spans="1:6">
      <c r="A37" s="5" t="s">
        <v>228</v>
      </c>
      <c r="B37" s="6">
        <f>C37*12</f>
        <v>68400</v>
      </c>
      <c r="C37" s="398">
        <v>5700</v>
      </c>
      <c r="D37" s="23" t="s">
        <v>229</v>
      </c>
      <c r="E37" s="22">
        <f t="shared" si="1"/>
        <v>59220</v>
      </c>
      <c r="F37" s="398">
        <v>4935</v>
      </c>
    </row>
    <row r="38" spans="1:6">
      <c r="A38" s="4" t="s">
        <v>230</v>
      </c>
      <c r="B38" s="6">
        <f>C38*12</f>
        <v>82056</v>
      </c>
      <c r="C38" s="398">
        <v>6838</v>
      </c>
    </row>
    <row r="39" spans="1:6">
      <c r="A39" s="4" t="s">
        <v>231</v>
      </c>
      <c r="B39" s="6">
        <f>C39*12</f>
        <v>86808</v>
      </c>
      <c r="C39" s="398">
        <v>7234</v>
      </c>
    </row>
    <row r="40" spans="1:6">
      <c r="A40" s="4" t="s">
        <v>232</v>
      </c>
      <c r="B40" s="6">
        <f>C40*12</f>
        <v>92052</v>
      </c>
      <c r="C40" s="398">
        <v>7671</v>
      </c>
    </row>
    <row r="41" spans="1:6">
      <c r="A41" s="4" t="s">
        <v>227</v>
      </c>
      <c r="B41" s="6">
        <f>C41*12</f>
        <v>86112</v>
      </c>
      <c r="C41" s="398">
        <v>7176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C2E66CA0F3B2048A602EE3E503D74A3" ma:contentTypeVersion="11" ma:contentTypeDescription="Create a new document." ma:contentTypeScope="" ma:versionID="8e0d609dfc949c06404bd13eea0ff7af">
  <xsd:schema xmlns:xsd="http://www.w3.org/2001/XMLSchema" xmlns:xs="http://www.w3.org/2001/XMLSchema" xmlns:p="http://schemas.microsoft.com/office/2006/metadata/properties" xmlns:ns2="365fdb58-46ff-454f-a271-ed9c48c1eb2a" xmlns:ns3="82071710-83e2-4871-b606-0004f14e9c40" targetNamespace="http://schemas.microsoft.com/office/2006/metadata/properties" ma:root="true" ma:fieldsID="2467472d586b3f14a86eb419b17d7657" ns2:_="" ns3:_="">
    <xsd:import namespace="365fdb58-46ff-454f-a271-ed9c48c1eb2a"/>
    <xsd:import namespace="82071710-83e2-4871-b606-0004f14e9c4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5fdb58-46ff-454f-a271-ed9c48c1eb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82a6d2c-5b4e-4664-93b8-796c908824e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2071710-83e2-4871-b606-0004f14e9c4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b906a32-7ad1-4ab2-9c68-a86451ee816a}" ma:internalName="TaxCatchAll" ma:showField="CatchAllData" ma:web="82071710-83e2-4871-b606-0004f14e9c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2071710-83e2-4871-b606-0004f14e9c40" xsi:nil="true"/>
    <lcf76f155ced4ddcb4097134ff3c332f xmlns="365fdb58-46ff-454f-a271-ed9c48c1eb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1FC4EA2-1ABB-415A-A1B4-EC88D8B5BE70}"/>
</file>

<file path=customXml/itemProps2.xml><?xml version="1.0" encoding="utf-8"?>
<ds:datastoreItem xmlns:ds="http://schemas.openxmlformats.org/officeDocument/2006/customXml" ds:itemID="{AF961AC3-FA63-436D-B1DE-B758E003E49F}"/>
</file>

<file path=customXml/itemProps3.xml><?xml version="1.0" encoding="utf-8"?>
<ds:datastoreItem xmlns:ds="http://schemas.openxmlformats.org/officeDocument/2006/customXml" ds:itemID="{6FF5FFBF-929F-47E7-89C5-54B12211BFC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Allen, Brian@DGS</dc:creator>
  <cp:keywords/>
  <dc:description/>
  <cp:lastModifiedBy>Allen, Brian@DGS</cp:lastModifiedBy>
  <cp:revision/>
  <dcterms:created xsi:type="dcterms:W3CDTF">2024-11-27T19:08:45Z</dcterms:created>
  <dcterms:modified xsi:type="dcterms:W3CDTF">2026-04-09T18:54:34Z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0x0101000C2E66CA0F3B2048A602EE3E503D74A3</vt:lpwstr>
  </property>
  <property fmtid="{D5CDD505-2E9C-101B-9397-08002B2CF9AE}" pid="3" name="MediaServiceImageTags">
    <vt:lpwstr/>
  </property>
</Properties>
</file>